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CwrjCLKjAzFAgYsaAB+Mhz5HnlCg59F/LYg3LhIQikORHv5lQd4V4K2rfblWA128G9qB//vWLnIEmJQgBA2GQ==" workbookSaltValue="PkHEb+B7UFIFm7IIhp3v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BK15" i="11"/>
  <c r="BG9" i="11"/>
  <c r="BV16" i="16"/>
  <c r="T13" i="16"/>
  <c r="Q15" i="17"/>
  <c r="BD9" i="8"/>
  <c r="AH13" i="16"/>
  <c r="C10" i="14"/>
  <c r="K10" i="14" s="1"/>
  <c r="AC20" i="20"/>
  <c r="AL20" i="20"/>
  <c r="E20" i="20"/>
  <c r="H17" i="2" l="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0" i="14"/>
  <c r="V10"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J20" i="20"/>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<sst xmlns="http://schemas.openxmlformats.org/spreadsheetml/2006/main" count="2094" uniqueCount="913">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</sst>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0lSdLoFqS0zx8i9YvxbQwJ4SzQpqzrM1jSqAcvuLVZD12ilsOP3pJEB6KbxvlJf0qR1cVBhvyx+QJ728Ns7Zw==" saltValue="9dg3YwzIB3FZRBOIQWlt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96</v>
      </c>
      <c r="D10" s="229">
        <f>IF(ISNUMBER(Datos!I10),Datos!I10," - ")</f>
        <v>96</v>
      </c>
      <c r="E10" s="230">
        <f>IF(ISNUMBER(Datos!J10),Datos!J10," - ")</f>
        <v>28</v>
      </c>
      <c r="F10" s="230">
        <f>IF(ISNUMBER(Datos!K10),Datos!K10," - ")</f>
        <v>19</v>
      </c>
      <c r="G10" s="1189" t="str">
        <f>IF(Datos!E10&lt;&gt;"",Datos!E10,Datos!D10)</f>
        <v>37</v>
      </c>
      <c r="H10" s="231">
        <f>IF(ISNUMBER(Datos!L10),Datos!L10," - ")</f>
        <v>105</v>
      </c>
      <c r="I10" s="1199" t="str">
        <f>IF(ISNUMBER(Datos!AS10/Datos!BM10),Datos!AS10/Datos!BM10," - ")</f>
        <v xml:space="preserve"> - </v>
      </c>
      <c r="J10" s="1200">
        <f>IF(ISNUMBER(Datos!BY10/Datos!CN10),Datos!BY10/Datos!CN10," - ")</f>
        <v>0</v>
      </c>
      <c r="K10" s="234">
        <f t="shared" ref="K10:K12" si="1">IF(ISNUMBER((E10-F10)/C10),(E10-F10)/C10," - ")</f>
        <v>9.375E-2</v>
      </c>
      <c r="L10" s="1201">
        <f>IF(ISNUMBER(NºAsuntos!I10/NºAsuntos!G10),(NºAsuntos!I10/NºAsuntos!G10)*11," - ")</f>
        <v>60.789473684210527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43.368736616702357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96</v>
      </c>
      <c r="D13" s="1206">
        <f>SUBTOTAL(9,D9:D12)</f>
        <v>96</v>
      </c>
      <c r="E13" s="1207">
        <f>SUBTOTAL(9,E9:E12)</f>
        <v>28</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2715</v>
      </c>
      <c r="D16" s="229">
        <f>IF(ISNUMBER(IF(D_I="SI",Datos!I16,Datos!I16+Datos!AC16)),IF(D_I="SI",Datos!I16,Datos!I16+Datos!AC16)," - ")</f>
        <v>2714</v>
      </c>
      <c r="E16" s="230">
        <f>IF(ISNUMBER(IF(D_I="SI",Datos!J16,Datos!J16+Datos!AD16)),IF(D_I="SI",Datos!J16,Datos!J16+Datos!AD16)," - ")</f>
        <v>1846</v>
      </c>
      <c r="F16" s="230">
        <f>IF(ISNUMBER(IF(D_I="SI",Datos!K16,Datos!K16+Datos!AE16)),IF(D_I="SI",Datos!K16,Datos!K16+Datos!AE16)," - ")</f>
        <v>1720</v>
      </c>
      <c r="G16" s="1189" t="str">
        <f>IF(Datos!E16&lt;&gt;"",Datos!E16,Datos!D16)</f>
        <v>04</v>
      </c>
      <c r="H16" s="231">
        <f>IF(ISNUMBER(IF(D_I="SI",Datos!L16,Datos!L16+Datos!AF16)),IF(D_I="SI",Datos!L16,Datos!L16+Datos!AF16)," - ")</f>
        <v>2841</v>
      </c>
      <c r="I16" s="1199" t="str">
        <f>IF(ISNUMBER(Datos!AS16/Datos!BM16),Datos!AS16/Datos!BM16," - ")</f>
        <v xml:space="preserve"> - </v>
      </c>
      <c r="J16" s="1200">
        <f>IF(ISNUMBER(Datos!BY16/Datos!CN16),Datos!BY16/Datos!CN16," - ")</f>
        <v>0</v>
      </c>
      <c r="K16" s="234">
        <f t="shared" si="3"/>
        <v>4.6408839779005527E-2</v>
      </c>
      <c r="L16" s="1201">
        <f>IF(ISNUMBER(NºAsuntos!I16/NºAsuntos!G16),(NºAsuntos!I16/NºAsuntos!G16)*11," - ")</f>
        <v>18.169186046511626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190</v>
      </c>
      <c r="D17" s="229">
        <f>IF(ISNUMBER(IF(D_I="SI",Datos!I17,Datos!I17+Datos!AC17)),IF(D_I="SI",Datos!I17,Datos!I17+Datos!AC17)," - ")</f>
        <v>190</v>
      </c>
      <c r="E17" s="230">
        <f>IF(ISNUMBER(IF(D_I="SI",Datos!J17,Datos!J17+Datos!AD17)),IF(D_I="SI",Datos!J17,Datos!J17+Datos!AD17)," - ")</f>
        <v>145</v>
      </c>
      <c r="F17" s="230">
        <f>IF(ISNUMBER(IF(D_I="SI",Datos!K17,Datos!K17+Datos!AE17)),IF(D_I="SI",Datos!K17,Datos!K17+Datos!AE17)," - ")</f>
        <v>135</v>
      </c>
      <c r="G17" s="1189" t="str">
        <f>IF(Datos!E17&lt;&gt;"",Datos!E17,Datos!D17)</f>
        <v>37</v>
      </c>
      <c r="H17" s="231">
        <f>IF(ISNUMBER(IF(D_I="SI",Datos!L17,Datos!L17+Datos!AF17)),IF(D_I="SI",Datos!L17,Datos!L17+Datos!AF17)," - ")</f>
        <v>200</v>
      </c>
      <c r="I17" s="1199" t="str">
        <f>IF(ISNUMBER(Datos!AS17/Datos!BM17),Datos!AS17/Datos!BM17," - ")</f>
        <v xml:space="preserve"> - </v>
      </c>
      <c r="J17" s="1200" t="str">
        <f>IF(ISNUMBER((Datos!BY17+Datos!BZ17)/Datos!CN17),(Datos!BY17+Datos!BZ17)/Datos!CN17," - ")</f>
        <v xml:space="preserve"> - </v>
      </c>
      <c r="K17" s="234">
        <f t="shared" si="3"/>
        <v>5.2631578947368418E-2</v>
      </c>
      <c r="L17" s="1201">
        <f>IF(ISNUMBER(NºAsuntos!I17/NºAsuntos!G17),(NºAsuntos!I17/NºAsuntos!G17)*11," - ")</f>
        <v>16.296296296296294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2905</v>
      </c>
      <c r="D18" s="1206">
        <f>SUBTOTAL(9,D15:D17)</f>
        <v>2904</v>
      </c>
      <c r="E18" s="1207">
        <f>SUBTOTAL(9,E15:E17)</f>
        <v>1991</v>
      </c>
      <c r="F18" s="1207">
        <f>SUBTOTAL(9,F15:F17)</f>
        <v>1855</v>
      </c>
      <c r="G18" s="1209" t="str">
        <f ca="1">INDIRECT(CONCATENATE("G",ROW()-1))</f>
        <v>37</v>
      </c>
      <c r="H18" s="1210">
        <f ca="1">SUMIF(G$14:G17,G18,H$14:H17)</f>
        <v>200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3001</v>
      </c>
      <c r="D19" s="1228">
        <f>SUBTOTAL(9,D9:D18)</f>
        <v>3000</v>
      </c>
      <c r="E19" s="1229">
        <f>SUBTOTAL(9,E9:E18)</f>
        <v>2019</v>
      </c>
      <c r="F19" s="1229">
        <f>SUBTOTAL(9,F9:F18)</f>
        <v>1874</v>
      </c>
      <c r="G19" s="1230"/>
      <c r="H19" s="1231">
        <f ca="1">SUMIF(B9:B18,"TOTAL",H9:H18)</f>
        <v>200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kfse652axcQrIDr2RPP2NW3Ygme5ejtov5TWUDRdcOPsa14Poo/33VRim+e+Vg1lNs26FjwbXD9xCmkIxT0zw==" saltValue="zEKQWkhuFqg0CEfhGpnPV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E/R5QccxvcditpbEGRTyIYvHMts0SfiXpnUEd1XWaeWsb5WlH1xvHjDGa6U4zw4EDVr1pPZdpQmuswoceaKeg==" saltValue="BDQ/z4Rq5w5wchzUagFz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96</v>
      </c>
      <c r="J10" s="185">
        <v>28</v>
      </c>
      <c r="K10" s="185">
        <v>19</v>
      </c>
      <c r="L10" s="185">
        <v>105</v>
      </c>
      <c r="M10" s="185">
        <v>8</v>
      </c>
      <c r="N10" s="185">
        <v>11</v>
      </c>
      <c r="O10" s="185">
        <v>1</v>
      </c>
      <c r="P10" s="185">
        <v>3</v>
      </c>
      <c r="Q10" s="185">
        <v>1</v>
      </c>
      <c r="R10" s="185">
        <v>52</v>
      </c>
      <c r="S10" s="185">
        <v>63</v>
      </c>
      <c r="T10" s="185">
        <v>21</v>
      </c>
      <c r="U10" s="185">
        <v>8</v>
      </c>
      <c r="V10" s="185">
        <v>76</v>
      </c>
      <c r="W10" s="185">
        <v>5</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63</v>
      </c>
      <c r="AZ10" s="130">
        <f t="shared" si="0"/>
        <v>21</v>
      </c>
      <c r="BA10" s="130">
        <f t="shared" si="0"/>
        <v>8</v>
      </c>
      <c r="BB10" s="130">
        <f t="shared" si="0"/>
        <v>76</v>
      </c>
      <c r="BC10" s="126">
        <f t="shared" si="0"/>
        <v>5</v>
      </c>
      <c r="BD10" s="127">
        <f>IF(ISNUMBER(BA10/AZ10),BA10/AZ10," - ")</f>
        <v>0.38095238095238093</v>
      </c>
      <c r="BE10" s="128">
        <f>IF(ISNUMBER(BB10/BA10),BB10/BA10, " - ")</f>
        <v>9.5</v>
      </c>
      <c r="BF10" s="128">
        <f>IF(ISNUMBER(BC10/BA10),BC10/BA10, " - ")</f>
        <v>0.625</v>
      </c>
      <c r="BG10" s="200">
        <f>IF(ISNUMBER((AY10+AZ10)/BA10),(AY10+AZ10)/BA10," - ")</f>
        <v>10.5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6787</v>
      </c>
      <c r="J12" s="187">
        <v>4103</v>
      </c>
      <c r="K12" s="187">
        <v>2096</v>
      </c>
      <c r="L12" s="187">
        <v>8884</v>
      </c>
      <c r="M12" s="187">
        <v>364</v>
      </c>
      <c r="N12" s="187">
        <v>840</v>
      </c>
      <c r="O12" s="185">
        <v>1030</v>
      </c>
      <c r="P12" s="187">
        <v>655</v>
      </c>
      <c r="Q12" s="187">
        <v>488</v>
      </c>
      <c r="R12" s="187">
        <v>8140</v>
      </c>
      <c r="S12" s="187">
        <v>6909</v>
      </c>
      <c r="T12" s="187">
        <v>2190</v>
      </c>
      <c r="U12" s="187">
        <v>2093</v>
      </c>
      <c r="V12" s="187">
        <v>6938</v>
      </c>
      <c r="W12" s="187">
        <v>509</v>
      </c>
      <c r="X12" s="193">
        <v>721</v>
      </c>
      <c r="Y12" s="195">
        <v>235</v>
      </c>
      <c r="Z12" s="185">
        <v>326</v>
      </c>
      <c r="AA12" s="185">
        <v>239</v>
      </c>
      <c r="AB12" s="185">
        <v>322</v>
      </c>
      <c r="AC12" s="187">
        <v>0</v>
      </c>
      <c r="AD12" s="187">
        <v>0</v>
      </c>
      <c r="AE12" s="187">
        <v>0</v>
      </c>
      <c r="AF12" s="193">
        <v>0</v>
      </c>
      <c r="AG12" s="206">
        <v>144</v>
      </c>
      <c r="AH12" s="187">
        <v>95</v>
      </c>
      <c r="AI12" s="187">
        <v>80</v>
      </c>
      <c r="AJ12" s="207">
        <v>159</v>
      </c>
      <c r="AK12" s="186">
        <v>0</v>
      </c>
      <c r="AL12" s="187">
        <v>0</v>
      </c>
      <c r="AM12" s="187">
        <v>0</v>
      </c>
      <c r="AN12" s="193">
        <v>0</v>
      </c>
      <c r="AO12" s="263">
        <v>8</v>
      </c>
      <c r="AP12" s="159">
        <v>8</v>
      </c>
      <c r="AQ12" s="159">
        <v>8</v>
      </c>
      <c r="AR12" s="158">
        <v>8</v>
      </c>
      <c r="AS12" s="349" t="s">
        <v>811</v>
      </c>
      <c r="AT12" s="207"/>
      <c r="AU12" s="206"/>
      <c r="AV12" s="207"/>
      <c r="AW12" s="206"/>
      <c r="AX12" s="207"/>
      <c r="AY12" s="127">
        <f t="shared" si="1"/>
        <v>7053</v>
      </c>
      <c r="AZ12" s="128">
        <f t="shared" si="1"/>
        <v>2285</v>
      </c>
      <c r="BA12" s="128">
        <f t="shared" si="1"/>
        <v>2173</v>
      </c>
      <c r="BB12" s="128">
        <f t="shared" si="1"/>
        <v>7097</v>
      </c>
      <c r="BC12" s="126">
        <f>IF(ISNUMBER(X12),X12," - ")</f>
        <v>721</v>
      </c>
      <c r="BD12" s="127">
        <f t="shared" si="2"/>
        <v>0.95098468271334791</v>
      </c>
      <c r="BE12" s="128">
        <f t="shared" si="3"/>
        <v>3.2659917165209387</v>
      </c>
      <c r="BF12" s="128">
        <f t="shared" si="4"/>
        <v>0.33179935572940633</v>
      </c>
      <c r="BG12" s="200">
        <f t="shared" si="5"/>
        <v>4.2972848596410493</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6883</v>
      </c>
      <c r="J13" s="188">
        <f t="shared" si="6"/>
        <v>4131</v>
      </c>
      <c r="K13" s="188">
        <f t="shared" si="6"/>
        <v>2115</v>
      </c>
      <c r="L13" s="188">
        <f t="shared" si="6"/>
        <v>8989</v>
      </c>
      <c r="M13" s="188">
        <f t="shared" si="6"/>
        <v>372</v>
      </c>
      <c r="N13" s="188">
        <f t="shared" si="6"/>
        <v>851</v>
      </c>
      <c r="O13" s="188">
        <f t="shared" si="6"/>
        <v>1031</v>
      </c>
      <c r="P13" s="188">
        <f t="shared" si="6"/>
        <v>658</v>
      </c>
      <c r="Q13" s="188">
        <f t="shared" si="6"/>
        <v>489</v>
      </c>
      <c r="R13" s="188">
        <f t="shared" si="6"/>
        <v>8192</v>
      </c>
      <c r="S13" s="188">
        <f t="shared" si="6"/>
        <v>6972</v>
      </c>
      <c r="T13" s="188">
        <f t="shared" si="6"/>
        <v>2211</v>
      </c>
      <c r="U13" s="188">
        <f t="shared" si="6"/>
        <v>2101</v>
      </c>
      <c r="V13" s="188">
        <f t="shared" si="6"/>
        <v>7014</v>
      </c>
      <c r="W13" s="188">
        <f t="shared" si="6"/>
        <v>514</v>
      </c>
      <c r="X13" s="188">
        <f t="shared" si="6"/>
        <v>724</v>
      </c>
      <c r="Y13" s="188">
        <f t="shared" si="6"/>
        <v>235</v>
      </c>
      <c r="Z13" s="188">
        <f t="shared" si="6"/>
        <v>326</v>
      </c>
      <c r="AA13" s="188">
        <f t="shared" si="6"/>
        <v>239</v>
      </c>
      <c r="AB13" s="188">
        <f t="shared" si="6"/>
        <v>322</v>
      </c>
      <c r="AC13" s="188">
        <f t="shared" si="6"/>
        <v>0</v>
      </c>
      <c r="AD13" s="188">
        <f t="shared" si="6"/>
        <v>0</v>
      </c>
      <c r="AE13" s="188">
        <f t="shared" si="6"/>
        <v>0</v>
      </c>
      <c r="AF13" s="188">
        <f>SUBTOTAL(9,AF9:AF12)</f>
        <v>0</v>
      </c>
      <c r="AG13" s="188">
        <f t="shared" ref="AG13:AT13" si="7">SUBTOTAL(9,AG8:AG12)</f>
        <v>144</v>
      </c>
      <c r="AH13" s="188">
        <f t="shared" si="7"/>
        <v>95</v>
      </c>
      <c r="AI13" s="188">
        <f t="shared" si="7"/>
        <v>80</v>
      </c>
      <c r="AJ13" s="188">
        <f t="shared" si="7"/>
        <v>159</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7116</v>
      </c>
      <c r="AZ13" s="188">
        <f>SUBTOTAL(9,AZ8:AZ12)</f>
        <v>2306</v>
      </c>
      <c r="BA13" s="188">
        <f>SUBTOTAL(9,BA8:BA12)</f>
        <v>2181</v>
      </c>
      <c r="BB13" s="188">
        <f>SUBTOTAL(9,BB8:BB12)</f>
        <v>7173</v>
      </c>
      <c r="BC13" s="188">
        <f>SUBTOTAL(9,BC8:BC12)</f>
        <v>726</v>
      </c>
      <c r="BD13" s="209">
        <f>IF(ISNUMBER(BA13/AZ13),BA13/AZ13," - ")</f>
        <v>0.9457935819601041</v>
      </c>
      <c r="BE13" s="210">
        <f>IF(ISNUMBER(BB13/BA13),BB13/BA13, " - ")</f>
        <v>3.2888583218707015</v>
      </c>
      <c r="BF13" s="210">
        <f>IF(ISNUMBER(BC13/BA13),BC13/BA13, " - ")</f>
        <v>0.33287482806052271</v>
      </c>
      <c r="BG13" s="211">
        <f>IF(ISNUMBER((AY13+AZ13)/BA13),(AY13+AZ13)/BA13," - ")</f>
        <v>4.3200366804218246</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2714</v>
      </c>
      <c r="J16" s="187">
        <v>1846</v>
      </c>
      <c r="K16" s="187">
        <v>1720</v>
      </c>
      <c r="L16" s="187">
        <v>2841</v>
      </c>
      <c r="M16" s="187">
        <v>251</v>
      </c>
      <c r="N16" s="187">
        <v>808</v>
      </c>
      <c r="O16" s="185">
        <v>0</v>
      </c>
      <c r="P16" s="187">
        <v>61</v>
      </c>
      <c r="Q16" s="187">
        <v>70</v>
      </c>
      <c r="R16" s="187">
        <v>303</v>
      </c>
      <c r="S16" s="187">
        <v>2294</v>
      </c>
      <c r="T16" s="187">
        <v>1694</v>
      </c>
      <c r="U16" s="187">
        <v>1727</v>
      </c>
      <c r="V16" s="187">
        <v>2268</v>
      </c>
      <c r="W16" s="187">
        <v>334</v>
      </c>
      <c r="X16" s="193">
        <v>750</v>
      </c>
      <c r="Y16" s="206">
        <v>0</v>
      </c>
      <c r="Z16" s="187">
        <v>0</v>
      </c>
      <c r="AA16" s="187">
        <v>0</v>
      </c>
      <c r="AB16" s="187">
        <v>0</v>
      </c>
      <c r="AC16" s="187">
        <v>20</v>
      </c>
      <c r="AD16" s="187">
        <v>62</v>
      </c>
      <c r="AE16" s="187">
        <v>20</v>
      </c>
      <c r="AF16" s="193">
        <v>62</v>
      </c>
      <c r="AG16" s="206">
        <v>0</v>
      </c>
      <c r="AH16" s="187">
        <v>0</v>
      </c>
      <c r="AI16" s="187">
        <v>0</v>
      </c>
      <c r="AJ16" s="207">
        <v>0</v>
      </c>
      <c r="AK16" s="186">
        <v>2</v>
      </c>
      <c r="AL16" s="187">
        <v>30</v>
      </c>
      <c r="AM16" s="187">
        <v>30</v>
      </c>
      <c r="AN16" s="193">
        <v>2</v>
      </c>
      <c r="AO16" s="263">
        <v>8</v>
      </c>
      <c r="AP16" s="159">
        <v>8</v>
      </c>
      <c r="AQ16" s="159">
        <v>8</v>
      </c>
      <c r="AR16" s="159">
        <v>8</v>
      </c>
      <c r="AS16" s="349" t="s">
        <v>491</v>
      </c>
      <c r="AT16" s="207"/>
      <c r="AU16" s="206"/>
      <c r="AV16" s="207"/>
      <c r="AW16" s="206"/>
      <c r="AX16" s="207"/>
      <c r="AY16" s="127">
        <f t="shared" si="9"/>
        <v>2294</v>
      </c>
      <c r="AZ16" s="128">
        <f t="shared" si="9"/>
        <v>1694</v>
      </c>
      <c r="BA16" s="128">
        <f t="shared" si="9"/>
        <v>1727</v>
      </c>
      <c r="BB16" s="128">
        <f t="shared" si="9"/>
        <v>2268</v>
      </c>
      <c r="BC16" s="126">
        <f>IF(ISNUMBER(W16),W16," - ")</f>
        <v>334</v>
      </c>
      <c r="BD16" s="127">
        <f t="shared" ref="BD16" si="11">IF(ISNUMBER(BA16/AZ16),BA16/AZ16," - ")</f>
        <v>1.0194805194805194</v>
      </c>
      <c r="BE16" s="128">
        <f t="shared" ref="BE16" si="12">IF(ISNUMBER(BB16/BA16),BB16/BA16, " - ")</f>
        <v>1.313259988419224</v>
      </c>
      <c r="BF16" s="128">
        <f t="shared" ref="BF16" si="13">IF(ISNUMBER(BC16/BA16),BC16/BA16, " - ")</f>
        <v>0.19339895773016791</v>
      </c>
      <c r="BG16" s="200">
        <f t="shared" si="10"/>
        <v>2.3092067168500288</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190</v>
      </c>
      <c r="J17" s="187">
        <v>145</v>
      </c>
      <c r="K17" s="187">
        <v>135</v>
      </c>
      <c r="L17" s="187">
        <v>200</v>
      </c>
      <c r="M17" s="187">
        <v>18</v>
      </c>
      <c r="N17" s="187">
        <v>73</v>
      </c>
      <c r="O17" s="187">
        <v>0</v>
      </c>
      <c r="P17" s="187">
        <v>0</v>
      </c>
      <c r="Q17" s="187">
        <v>0</v>
      </c>
      <c r="R17" s="187">
        <v>0</v>
      </c>
      <c r="S17" s="187">
        <v>103</v>
      </c>
      <c r="T17" s="187">
        <v>149</v>
      </c>
      <c r="U17" s="187">
        <v>130</v>
      </c>
      <c r="V17" s="187">
        <v>122</v>
      </c>
      <c r="W17" s="187">
        <v>13</v>
      </c>
      <c r="X17" s="193">
        <v>87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103</v>
      </c>
      <c r="AZ17" s="130">
        <f t="shared" si="14"/>
        <v>149</v>
      </c>
      <c r="BA17" s="130">
        <f t="shared" si="14"/>
        <v>130</v>
      </c>
      <c r="BB17" s="130">
        <f t="shared" si="14"/>
        <v>122</v>
      </c>
      <c r="BC17" s="126">
        <f>IF(ISNUMBER(W17),W17," - ")</f>
        <v>13</v>
      </c>
      <c r="BD17" s="127">
        <f>IF(ISNUMBER(BA17/AZ17),BA17/AZ17," - ")</f>
        <v>0.87248322147651003</v>
      </c>
      <c r="BE17" s="128">
        <f>IF(ISNUMBER(BB17/BA17),BB17/BA17, " - ")</f>
        <v>0.93846153846153846</v>
      </c>
      <c r="BF17" s="128">
        <f>IF(ISNUMBER(BC17/BA17),BC17/BA17, " - ")</f>
        <v>0.1</v>
      </c>
      <c r="BG17" s="200">
        <f>IF(ISNUMBER((AY17+AZ17)/BA17),(AY17+AZ17)/BA17," - ")</f>
        <v>1.9384615384615385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2904</v>
      </c>
      <c r="J18" s="188">
        <f t="shared" si="15"/>
        <v>1991</v>
      </c>
      <c r="K18" s="188">
        <f t="shared" si="15"/>
        <v>1855</v>
      </c>
      <c r="L18" s="188">
        <f t="shared" si="15"/>
        <v>3041</v>
      </c>
      <c r="M18" s="188">
        <f t="shared" si="15"/>
        <v>269</v>
      </c>
      <c r="N18" s="188">
        <f t="shared" si="15"/>
        <v>881</v>
      </c>
      <c r="O18" s="188">
        <f t="shared" si="15"/>
        <v>0</v>
      </c>
      <c r="P18" s="188">
        <f t="shared" si="15"/>
        <v>61</v>
      </c>
      <c r="Q18" s="188">
        <f t="shared" si="15"/>
        <v>70</v>
      </c>
      <c r="R18" s="188">
        <f t="shared" si="15"/>
        <v>303</v>
      </c>
      <c r="S18" s="188">
        <f t="shared" si="15"/>
        <v>2397</v>
      </c>
      <c r="T18" s="188">
        <f t="shared" si="15"/>
        <v>1843</v>
      </c>
      <c r="U18" s="188">
        <f t="shared" si="15"/>
        <v>1857</v>
      </c>
      <c r="V18" s="188">
        <f t="shared" si="15"/>
        <v>2390</v>
      </c>
      <c r="W18" s="188">
        <f t="shared" si="15"/>
        <v>347</v>
      </c>
      <c r="X18" s="188">
        <f t="shared" si="15"/>
        <v>837</v>
      </c>
      <c r="Y18" s="188">
        <f t="shared" si="15"/>
        <v>0</v>
      </c>
      <c r="Z18" s="188">
        <f t="shared" si="15"/>
        <v>0</v>
      </c>
      <c r="AA18" s="188">
        <f t="shared" si="15"/>
        <v>0</v>
      </c>
      <c r="AB18" s="188">
        <f t="shared" si="15"/>
        <v>0</v>
      </c>
      <c r="AC18" s="188">
        <f t="shared" si="15"/>
        <v>20</v>
      </c>
      <c r="AD18" s="188">
        <f t="shared" si="15"/>
        <v>62</v>
      </c>
      <c r="AE18" s="188">
        <f t="shared" si="15"/>
        <v>20</v>
      </c>
      <c r="AF18" s="188">
        <f t="shared" si="15"/>
        <v>62</v>
      </c>
      <c r="AG18" s="188">
        <f t="shared" si="15"/>
        <v>0</v>
      </c>
      <c r="AH18" s="188">
        <f t="shared" si="15"/>
        <v>0</v>
      </c>
      <c r="AI18" s="188">
        <f t="shared" si="15"/>
        <v>0</v>
      </c>
      <c r="AJ18" s="188">
        <f t="shared" si="15"/>
        <v>0</v>
      </c>
      <c r="AK18" s="188">
        <f t="shared" si="15"/>
        <v>2</v>
      </c>
      <c r="AL18" s="188">
        <f t="shared" si="15"/>
        <v>30</v>
      </c>
      <c r="AM18" s="188">
        <f t="shared" si="15"/>
        <v>30</v>
      </c>
      <c r="AN18" s="188">
        <f t="shared" si="15"/>
        <v>2</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2397</v>
      </c>
      <c r="AZ18" s="188">
        <f>SUBTOTAL(9,AZ14:AZ17)</f>
        <v>1843</v>
      </c>
      <c r="BA18" s="188">
        <f>SUBTOTAL(9,BA14:BA17)</f>
        <v>1857</v>
      </c>
      <c r="BB18" s="188">
        <f>SUBTOTAL(9,BB14:BB17)</f>
        <v>2390</v>
      </c>
      <c r="BC18" s="188">
        <f>SUBTOTAL(9,BC14:BC17)</f>
        <v>347</v>
      </c>
      <c r="BD18" s="209">
        <f>IF(ISNUMBER(BA18/AZ18),BA18/AZ18," - ")</f>
        <v>1.0075963103635377</v>
      </c>
      <c r="BE18" s="210">
        <f>IF(ISNUMBER(BB18/BA18),BB18/BA18, " - ")</f>
        <v>1.2870220786214324</v>
      </c>
      <c r="BF18" s="210">
        <f>IF(ISNUMBER(BC18/BA18),BC18/BA18, " - ")</f>
        <v>0.18686052773290254</v>
      </c>
      <c r="BG18" s="211">
        <f>IF(ISNUMBER((AY18+AZ18)/BA18),(AY18+AZ18)/BA18," - ")</f>
        <v>2.2832525578890683</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9787</v>
      </c>
      <c r="J19" s="135">
        <f t="shared" si="18"/>
        <v>6122</v>
      </c>
      <c r="K19" s="135">
        <f t="shared" si="18"/>
        <v>3970</v>
      </c>
      <c r="L19" s="135">
        <f t="shared" si="18"/>
        <v>12030</v>
      </c>
      <c r="M19" s="135">
        <f t="shared" si="18"/>
        <v>641</v>
      </c>
      <c r="N19" s="135">
        <f t="shared" si="18"/>
        <v>1732</v>
      </c>
      <c r="O19" s="135">
        <f t="shared" si="18"/>
        <v>1031</v>
      </c>
      <c r="P19" s="135">
        <f t="shared" si="18"/>
        <v>719</v>
      </c>
      <c r="Q19" s="135">
        <f t="shared" si="18"/>
        <v>559</v>
      </c>
      <c r="R19" s="135">
        <f t="shared" si="18"/>
        <v>8495</v>
      </c>
      <c r="S19" s="135">
        <f t="shared" si="18"/>
        <v>9369</v>
      </c>
      <c r="T19" s="135">
        <f t="shared" si="18"/>
        <v>4054</v>
      </c>
      <c r="U19" s="135">
        <f t="shared" si="18"/>
        <v>3958</v>
      </c>
      <c r="V19" s="135">
        <f t="shared" si="18"/>
        <v>9404</v>
      </c>
      <c r="W19" s="135">
        <f t="shared" si="18"/>
        <v>861</v>
      </c>
      <c r="X19" s="135">
        <f t="shared" si="18"/>
        <v>1561</v>
      </c>
      <c r="Y19" s="135">
        <f t="shared" si="18"/>
        <v>235</v>
      </c>
      <c r="Z19" s="135">
        <f t="shared" si="18"/>
        <v>326</v>
      </c>
      <c r="AA19" s="135">
        <f t="shared" si="18"/>
        <v>239</v>
      </c>
      <c r="AB19" s="135">
        <f t="shared" si="18"/>
        <v>322</v>
      </c>
      <c r="AC19" s="135">
        <f t="shared" si="18"/>
        <v>20</v>
      </c>
      <c r="AD19" s="135">
        <f t="shared" si="18"/>
        <v>62</v>
      </c>
      <c r="AE19" s="135">
        <f t="shared" si="18"/>
        <v>20</v>
      </c>
      <c r="AF19" s="135">
        <f t="shared" si="18"/>
        <v>62</v>
      </c>
      <c r="AG19" s="135">
        <f t="shared" si="18"/>
        <v>144</v>
      </c>
      <c r="AH19" s="135">
        <f t="shared" si="18"/>
        <v>95</v>
      </c>
      <c r="AI19" s="135">
        <f t="shared" si="18"/>
        <v>80</v>
      </c>
      <c r="AJ19" s="135">
        <f t="shared" si="18"/>
        <v>159</v>
      </c>
      <c r="AK19" s="135">
        <f t="shared" si="18"/>
        <v>2</v>
      </c>
      <c r="AL19" s="135">
        <f t="shared" si="18"/>
        <v>30</v>
      </c>
      <c r="AM19" s="135">
        <f t="shared" si="18"/>
        <v>30</v>
      </c>
      <c r="AN19" s="214">
        <f t="shared" si="18"/>
        <v>2</v>
      </c>
      <c r="AO19" s="215">
        <v>9</v>
      </c>
      <c r="AP19" s="215">
        <v>8</v>
      </c>
      <c r="AQ19" s="215">
        <v>8</v>
      </c>
      <c r="AR19" s="215">
        <v>8</v>
      </c>
      <c r="AS19" s="157">
        <f t="shared" si="18"/>
        <v>0</v>
      </c>
      <c r="AT19" s="157">
        <f t="shared" si="18"/>
        <v>0</v>
      </c>
      <c r="AU19" s="215"/>
      <c r="AV19" s="216"/>
      <c r="AW19" s="215"/>
      <c r="AX19" s="216"/>
      <c r="AY19" s="134">
        <f>SUBTOTAL(9,AY9:AY18)</f>
        <v>9513</v>
      </c>
      <c r="AZ19" s="135">
        <f>SUBTOTAL(9,AZ9:AZ18)</f>
        <v>4149</v>
      </c>
      <c r="BA19" s="135">
        <f>SUBTOTAL(9,BA9:BA18)</f>
        <v>4038</v>
      </c>
      <c r="BB19" s="135">
        <f>SUBTOTAL(9,BB9:BB18)</f>
        <v>9563</v>
      </c>
      <c r="BC19" s="136">
        <f>SUBTOTAL(9,BC9:BC18)</f>
        <v>1073</v>
      </c>
      <c r="BD19" s="217">
        <f>IF(ISNUMBER(BA19/AZ19),BA19/AZ19," - ")</f>
        <v>0.9732465654374548</v>
      </c>
      <c r="BE19" s="214">
        <f>IF(ISNUMBER(BB19/BA19),BB19/BA19, " - ")</f>
        <v>2.3682516097077762</v>
      </c>
      <c r="BF19" s="214">
        <f>IF(ISNUMBER(BC19/BA19),BC19/BA19, " - ")</f>
        <v>0.26572560673600792</v>
      </c>
      <c r="BG19" s="136">
        <f>IF(ISNUMBER((AY19+AZ19)/BA19),(AY19+AZ19)/BA19," - ")</f>
        <v>3.3833580980683506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zOZTFHWM68Xk2gwZMc5+hIfiBCSN6TmsztAVQaU2souPMpnNlCNxy3tjkjGCpYsFeJLAPlwFYi0r8BQt3cTkQ==" saltValue="+1E17IFtnmC6hjSMnTSn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VrttrH/EVVGOq4cbXfF0b8Fzg3UnIb0KbWxj74hfHX5DGGrLLoRftdfqvMjqHvStQ80QXXRZmbdbn7kPfNKQQ==" saltValue="WNse2XmsE9i19DRNdz1u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CERDANYOLA DEL VALLES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96</v>
      </c>
      <c r="G10" s="497">
        <f>IF(ISNUMBER(Datos!I10),Datos!I10," - ")</f>
        <v>96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1</v>
      </c>
      <c r="AD10" s="503"/>
      <c r="AE10" s="516"/>
      <c r="AF10" s="505">
        <f>IF(ISNUMBER(Datos!L10),Datos!L10,"-")</f>
        <v>105</v>
      </c>
      <c r="AG10" s="503"/>
      <c r="AH10" s="503"/>
      <c r="AI10" s="503"/>
      <c r="AJ10" s="503"/>
      <c r="AK10" s="503"/>
      <c r="AL10" s="504"/>
      <c r="AM10" s="671">
        <f>IF(ISNUMBER(Datos!R10),Datos!R10," - ")</f>
        <v>52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11</v>
      </c>
      <c r="BE10" s="619" t="str">
        <f>IF(ISNUMBER(Datos!BW10),Datos!BW10," - ")</f>
        <v xml:space="preserve"> - </v>
      </c>
      <c r="BF10" s="667" t="str">
        <f>IF(ISNUMBER(Datos!BX10),Datos!BX10," - ")</f>
        <v xml:space="preserve"> - </v>
      </c>
      <c r="BG10" s="668">
        <f>IF(ISNUMBER(Datos!K10/Datos!J10),Datos!K10/Datos!J10," - ")</f>
        <v>0.6785714285714286</v>
      </c>
      <c r="BH10" s="669">
        <f>IF(ISNUMBER(((Datos!L10/Datos!K10)*11)/factor_trimestre),((Datos!L10/Datos!K10)*11)/factor_trimestre," - ")</f>
        <v>16.578947368421055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326</v>
      </c>
      <c r="O12" s="503"/>
      <c r="P12" s="503"/>
      <c r="Q12" s="501">
        <f>IF(ISNUMBER(Datos!P12),Datos!P12,0)</f>
        <v>655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322</v>
      </c>
      <c r="AI12" s="503" t="str">
        <f>IF(ISNUMBER(Datos!CD12),Datos!CD12,"-")</f>
        <v>-</v>
      </c>
      <c r="AJ12" s="503" t="str">
        <f>IF(ISNUMBER(Datos!EN12),Datos!EN12," - ")</f>
        <v xml:space="preserve"> - </v>
      </c>
      <c r="AK12" s="503"/>
      <c r="AL12" s="504"/>
      <c r="AM12" s="671">
        <f>IF(ISNUMBER(Datos!R12),Datos!R12," - ")</f>
        <v>8140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364</v>
      </c>
      <c r="BD12" s="619">
        <f>IF(ISNUMBER(Datos!N12),Datos!N12," - ")</f>
        <v>840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0.52720704447956646</v>
      </c>
      <c r="BH12" s="669">
        <f>IF(ISNUMBER(((IF(J_V="SI",Datos!L12/Datos!K12,(Datos!L12+Datos!AB12)/(Datos!K12+Datos!AA12)))*11)/factor_trimestre),((IF(J_V="SI",Datos!L12/Datos!K12,(Datos!L12+Datos!AB12)/(Datos!K12+Datos!AA12)))*11)/factor_trimestre," - ")</f>
        <v>11.827837259100644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2.0945691709519629E-2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96</v>
      </c>
      <c r="G13" s="1044">
        <f t="shared" si="0"/>
        <v>96</v>
      </c>
      <c r="H13" s="1045">
        <f t="shared" si="0"/>
        <v>0</v>
      </c>
      <c r="I13" s="1044">
        <f t="shared" si="0"/>
        <v>0</v>
      </c>
      <c r="J13" s="1013">
        <f t="shared" si="0"/>
        <v>0</v>
      </c>
      <c r="K13" s="1013">
        <f t="shared" si="0"/>
        <v>0</v>
      </c>
      <c r="L13" s="1045">
        <f t="shared" si="0"/>
        <v>0</v>
      </c>
      <c r="M13" s="1045">
        <f t="shared" si="0"/>
        <v>0</v>
      </c>
      <c r="N13" s="1045">
        <f t="shared" si="0"/>
        <v>326</v>
      </c>
      <c r="O13" s="1046">
        <f t="shared" si="0"/>
        <v>0</v>
      </c>
      <c r="P13" s="1046">
        <f t="shared" si="0"/>
        <v>0</v>
      </c>
      <c r="Q13" s="1045">
        <f t="shared" si="0"/>
        <v>658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489</v>
      </c>
      <c r="AD13" s="1045">
        <f t="shared" si="1"/>
        <v>0</v>
      </c>
      <c r="AE13" s="1045">
        <f t="shared" si="1"/>
        <v>0</v>
      </c>
      <c r="AF13" s="1045">
        <f t="shared" si="1"/>
        <v>105</v>
      </c>
      <c r="AG13" s="1045">
        <f t="shared" si="1"/>
        <v>0</v>
      </c>
      <c r="AH13" s="1045">
        <f t="shared" si="1"/>
        <v>322</v>
      </c>
      <c r="AI13" s="1045">
        <f t="shared" si="1"/>
        <v>0</v>
      </c>
      <c r="AJ13" s="1045">
        <f t="shared" si="1"/>
        <v>0</v>
      </c>
      <c r="AK13" s="1045">
        <f t="shared" si="1"/>
        <v>0</v>
      </c>
      <c r="AL13" s="1045">
        <f t="shared" si="1"/>
        <v>0</v>
      </c>
      <c r="AM13" s="1045">
        <f t="shared" si="1"/>
        <v>8192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372</v>
      </c>
      <c r="BD13" s="1045">
        <f t="shared" si="1"/>
        <v>851</v>
      </c>
      <c r="BE13" s="1045">
        <f t="shared" si="1"/>
        <v>0</v>
      </c>
      <c r="BF13" s="1045">
        <f t="shared" si="1"/>
        <v>0</v>
      </c>
      <c r="BG13" s="1045">
        <f>IF(ISNUMBER(Datos!K13/Datos!J13),Datos!K13/Datos!J13," - ")</f>
        <v>0.51198257080610021</v>
      </c>
      <c r="BH13" s="1049">
        <f>IF(ISNUMBER(((Datos!L13/Datos!K13)*11)/factor_trimestre),((Datos!L13/Datos!K13)*11)/factor_trimestre," - ")</f>
        <v>12.750354609929078</v>
      </c>
      <c r="BI13" s="1045">
        <f>IF(ISNUMBER('Resol  Asuntos'!D13/NºAsuntos!G13),'Resol  Asuntos'!D13/NºAsuntos!G13," - ")</f>
        <v>0.1580288870008496</v>
      </c>
      <c r="BJ13" s="1045" t="str">
        <f>IF(ISNUMBER(Datos!CI13/Datos!CJ13),Datos!CI13/Datos!CJ13," - ")</f>
        <v xml:space="preserve"> - </v>
      </c>
      <c r="BK13" s="1045">
        <f>SUBTOTAL(9,BK8:BK12)</f>
        <v>0</v>
      </c>
      <c r="BL13" s="1045">
        <f>IF(ISNUMBER((I13-AB13+L13)/(F13)),(I13-AB13+L13)/(F13)," - ")</f>
        <v>-0.19791666666666666</v>
      </c>
      <c r="BM13" s="1050">
        <f>SUBTOTAL(9,BM9:BM12)</f>
        <v>6.0945691709519634E-2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2715</v>
      </c>
      <c r="G16" s="650">
        <f>IF(ISNUMBER(IF(D_I="SI",Datos!I16,Datos!I16+Datos!AC16)),IF(D_I="SI",Datos!I16,Datos!I16+Datos!AC16)," - ")</f>
        <v>2714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1720</v>
      </c>
      <c r="AC16" s="230">
        <f>IF(ISNUMBER(Datos!Q16),Datos!Q16," - ")</f>
        <v>70</v>
      </c>
      <c r="AD16" s="343"/>
      <c r="AE16" s="515"/>
      <c r="AF16" s="648">
        <f>IF(ISNUMBER(IF(D_I="SI",Datos!L16,Datos!L16+Datos!AF16)),IF(D_I="SI",Datos!L16,Datos!L16+Datos!AF16)," - ")</f>
        <v>2841</v>
      </c>
      <c r="AG16" s="343"/>
      <c r="AH16" s="343"/>
      <c r="AI16" s="343"/>
      <c r="AJ16" s="503"/>
      <c r="AK16" s="343"/>
      <c r="AL16" s="499"/>
      <c r="AM16" s="344">
        <f>IF(ISNUMBER(Datos!R16),Datos!R16," - ")</f>
        <v>303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251</v>
      </c>
      <c r="BD16" s="233">
        <f>IF(ISNUMBER(Datos!N16),Datos!N16," - ")</f>
        <v>808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0.93174431202600216</v>
      </c>
      <c r="BH16" s="669">
        <f>IF(ISNUMBER(((IF(D_I="SI",Datos!L16/Datos!K16,(Datos!L16+Datos!AF16)/(Datos!K16+Datos!AE16)))*11)/factor_trimestre),((IF(D_I="SI",Datos!L16/Datos!K16,(Datos!L16+Datos!AF16)/(Datos!K16+Datos!AE16)))*11)/factor_trimestre," - ")</f>
        <v>4.9552325581395342</v>
      </c>
      <c r="BI16" s="247">
        <f>IF(ISNUMBER('Resol  Asuntos'!D16/NºAsuntos!G16),'Resol  Asuntos'!D16/NºAsuntos!G16," - ")</f>
        <v>0.14593023255813953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135</v>
      </c>
      <c r="AC17" s="501">
        <f>IF(ISNUMBER(Datos!Q17),Datos!Q17," - ")</f>
        <v>0</v>
      </c>
      <c r="AD17" s="503"/>
      <c r="AE17" s="515"/>
      <c r="AF17" s="505">
        <f>IF(ISNUMBER(Datos!L17),Datos!L17,"-")</f>
        <v>200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73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0.93103448275862066</v>
      </c>
      <c r="BH17" s="669">
        <f>IF(ISNUMBER(((IF(D_I="SI",Datos!L17/Datos!K17,(Datos!L17+Datos!AF17)/(Datos!K17+Datos!AE17)))*11)/factor_trimestre),((IF(D_I="SI",Datos!L17/Datos!K17,(Datos!L17+Datos!AF17)/(Datos!K17+Datos!AE17)))*11)/factor_trimestre," - ")</f>
        <v>4.4444444444444438</v>
      </c>
      <c r="BI17" s="668">
        <f>IF(ISNUMBER('Resol  Asuntos'!D17/NºAsuntos!G17),'Resol  Asuntos'!D17/NºAsuntos!G17," - ")</f>
        <v>0.13333333333333333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2715</v>
      </c>
      <c r="G18" s="1044">
        <f>SUBTOTAL(9,G15:G17)</f>
        <v>2904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1855</v>
      </c>
      <c r="AC18" s="1045">
        <f t="shared" si="4"/>
        <v>70</v>
      </c>
      <c r="AD18" s="1045">
        <f t="shared" si="4"/>
        <v>0</v>
      </c>
      <c r="AE18" s="1045">
        <f t="shared" si="4"/>
        <v>0</v>
      </c>
      <c r="AF18" s="1045">
        <f t="shared" si="4"/>
        <v>3041</v>
      </c>
      <c r="AG18" s="1045">
        <f t="shared" si="4"/>
        <v>0</v>
      </c>
      <c r="AH18" s="1045">
        <f t="shared" si="4"/>
        <v>0</v>
      </c>
      <c r="AI18" s="1045">
        <f t="shared" si="4"/>
        <v>0</v>
      </c>
      <c r="AJ18" s="1045">
        <f t="shared" si="4"/>
        <v>0</v>
      </c>
      <c r="AK18" s="1045">
        <f t="shared" si="4"/>
        <v>0</v>
      </c>
      <c r="AL18" s="1045">
        <f t="shared" si="4"/>
        <v>0</v>
      </c>
      <c r="AM18" s="1045">
        <f t="shared" si="4"/>
        <v>303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269</v>
      </c>
      <c r="BD18" s="1045">
        <f t="shared" si="4"/>
        <v>881</v>
      </c>
      <c r="BE18" s="1045">
        <f t="shared" si="4"/>
        <v>0</v>
      </c>
      <c r="BF18" s="1045">
        <f t="shared" si="4"/>
        <v>0</v>
      </c>
      <c r="BG18" s="1045">
        <f>IF(ISNUMBER(Datos!K18/Datos!J18),Datos!K18/Datos!J18," - ")</f>
        <v>0.93169261677548976</v>
      </c>
      <c r="BH18" s="1049">
        <f>IF(ISNUMBER(((Datos!L18/Datos!K18)*11)/factor_trimestre),((Datos!L18/Datos!K18)*11)/factor_trimestre," - ")</f>
        <v>4.9180592991913752</v>
      </c>
      <c r="BI18" s="1045">
        <f>SUBTOTAL(9,BI15:BI17)</f>
        <v>0.27926356589147283</v>
      </c>
      <c r="BJ18" s="1045">
        <f>SUBTOTAL(9,BJ15:BJ17)</f>
        <v>0</v>
      </c>
      <c r="BK18" s="1045">
        <f>SUBTOTAL(9,BK15:BK17)</f>
        <v>0</v>
      </c>
      <c r="BL18" s="1045">
        <f>IF(ISNUMBER((I18-AB18+L18)/(F18)),(I18-AB18+L18)/(F18)," - ")</f>
        <v>-0.68324125230202581</v>
      </c>
      <c r="BM18" s="1051">
        <f>IF(ISNUMBER((Datos!P18-Datos!Q18)/(Datos!R18-Datos!P18+Datos!Q18)),(Datos!P18-Datos!Q18)/(Datos!R18-Datos!P18+Datos!Q18)," - ")</f>
        <v>-2.8846153846153848E-2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2811</v>
      </c>
      <c r="G19" s="966">
        <f t="shared" si="6"/>
        <v>3000</v>
      </c>
      <c r="H19" s="968">
        <f t="shared" si="6"/>
        <v>0</v>
      </c>
      <c r="I19" s="966">
        <f t="shared" si="6"/>
        <v>0</v>
      </c>
      <c r="J19" s="968">
        <f t="shared" si="6"/>
        <v>0</v>
      </c>
      <c r="K19" s="968">
        <f t="shared" si="6"/>
        <v>0</v>
      </c>
      <c r="L19" s="1027">
        <f t="shared" si="6"/>
        <v>0</v>
      </c>
      <c r="M19" s="1027">
        <f t="shared" si="6"/>
        <v>0</v>
      </c>
      <c r="N19" s="1027">
        <f t="shared" si="6"/>
        <v>326</v>
      </c>
      <c r="O19" s="1027">
        <f t="shared" si="6"/>
        <v>0</v>
      </c>
      <c r="P19" s="1027">
        <f t="shared" si="6"/>
        <v>0</v>
      </c>
      <c r="Q19" s="968">
        <f t="shared" si="6"/>
        <v>719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1874</v>
      </c>
      <c r="AC19" s="967">
        <f t="shared" si="7"/>
        <v>559</v>
      </c>
      <c r="AD19" s="967">
        <f t="shared" si="7"/>
        <v>0</v>
      </c>
      <c r="AE19" s="967">
        <f t="shared" si="7"/>
        <v>0</v>
      </c>
      <c r="AF19" s="974">
        <f t="shared" si="7"/>
        <v>3146</v>
      </c>
      <c r="AG19" s="974">
        <f t="shared" si="7"/>
        <v>0</v>
      </c>
      <c r="AH19" s="974">
        <f t="shared" si="7"/>
        <v>322</v>
      </c>
      <c r="AI19" s="974">
        <f t="shared" si="7"/>
        <v>0</v>
      </c>
      <c r="AJ19" s="967">
        <f t="shared" si="7"/>
        <v>0</v>
      </c>
      <c r="AK19" s="974">
        <f t="shared" si="7"/>
        <v>0</v>
      </c>
      <c r="AL19" s="974">
        <f t="shared" si="7"/>
        <v>0</v>
      </c>
      <c r="AM19" s="974">
        <f t="shared" si="7"/>
        <v>8495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641</v>
      </c>
      <c r="BD19" s="966">
        <f t="shared" si="7"/>
        <v>1732</v>
      </c>
      <c r="BE19" s="966">
        <f t="shared" si="7"/>
        <v>0</v>
      </c>
      <c r="BF19" s="976">
        <f t="shared" si="7"/>
        <v>0</v>
      </c>
      <c r="BG19" s="1061">
        <f>IF(ISNUMBER(Datos!K19/Datos!J19),Datos!K19/Datos!J19," - ")</f>
        <v>0.64848088859849717</v>
      </c>
      <c r="BH19" s="1061">
        <f>IF(ISNUMBER(((Datos!L19/Datos!K19)*11)/factor_trimestre),((Datos!L19/Datos!K19)*11)/factor_trimestre," - ")</f>
        <v>9.0906801007556677</v>
      </c>
      <c r="BI19" s="959">
        <f>IF(ISNUMBER(Datos!J19/Datos!I19),Datos!J19/Datos!I19," - ")</f>
        <v>0.62552365382650454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-0.66666666666666663</v>
      </c>
      <c r="BM19" s="1035">
        <f>IF(ISNUMBER((Datos!P19-Datos!Q19+R19)/(Datos!R19-Datos!P19+Datos!Q19-R19)),(Datos!P19-Datos!Q19+R19)/(Datos!R19-Datos!P19+Datos!Q19-R19)," - ")</f>
        <v>1.9196160767846429E-2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1200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1512.0803550076298</v>
      </c>
      <c r="G21" s="600">
        <f>IF(ISNUMBER(STDEV(G8:G18)),STDEV(G8:G18),"-")</f>
        <v>1470.8453351729406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949.85146207183368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162.91674765556382</v>
      </c>
      <c r="BD21" s="599"/>
      <c r="BE21" s="599">
        <f>IF(ISNUMBER(STDEV(BE8:BE18)),STDEV(BE8:BE18),"-")</f>
        <v>0</v>
      </c>
      <c r="BF21" s="604">
        <f>IF(ISNUMBER(STDEV(BF8:BF18)),STDEV(BF8:BF18),"-")</f>
        <v>0</v>
      </c>
      <c r="BG21" s="914">
        <f>IF(ISNUMBER(STDEV(BG8:BG18)),STDEV(BG8:BG18),"-")</f>
        <v>0.205028186116228</v>
      </c>
      <c r="BH21" s="918">
        <f>IF(ISNUMBER(STDEV(BH8:BH18)),STDEV(BH8:BH18),"-")</f>
        <v>5.1558741928957428</v>
      </c>
      <c r="BI21" s="253">
        <f>IF(ISNUMBER(STDEV(BI8:BI18)),STDEV(BI8:BI18),"-")</f>
        <v>6.7506905571647721E-2</v>
      </c>
      <c r="BJ21" s="234" t="str">
        <f>IF(ISNUMBER(BL21/BM21),BL21/BM21," - ")</f>
        <v xml:space="preserve"> - </v>
      </c>
      <c r="BK21" s="626"/>
      <c r="BL21" s="607">
        <f>IF(ISNUMBER(STDEV(BL8:BL18)),STDEV(BL8:BL18),"-")</f>
        <v>0.34317630557931367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eZV8m4h0awi/RFR8ygj82Dd0v86+2eMxrKFv0Uvi3voSfXVGVtO2tABBsZlmVpUJ9DRUyMSZmV3OXH8KIHZ+g==" saltValue="+kvBbrS9QxYvVMinOvCF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CERDANYOLA DEL VALLES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96</v>
      </c>
      <c r="G10" s="506">
        <f>IF(ISNUMBER(Datos!I10),Datos!I10," - ")</f>
        <v>96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1</v>
      </c>
      <c r="AA10" s="505">
        <f>IF(ISNUMBER(Datos!L10),Datos!L10,"-")</f>
        <v>105</v>
      </c>
      <c r="AB10" s="503"/>
      <c r="AC10" s="503"/>
      <c r="AD10" s="516"/>
      <c r="AE10" s="516">
        <f>IF(ISNUMBER(Datos!R10),Datos!R10," - ")</f>
        <v>52</v>
      </c>
      <c r="AF10" s="619" t="str">
        <f>IF(ISNUMBER(Datos!BV10),Datos!BV10," - ")</f>
        <v xml:space="preserve"> - </v>
      </c>
      <c r="AG10" s="506" t="str">
        <f>IF(ISNUMBER(Datos!DV10),Datos!DV10," - ")</f>
        <v xml:space="preserve"> - </v>
      </c>
      <c r="AH10" s="507"/>
      <c r="AI10" s="508"/>
      <c r="AJ10" s="506">
        <f>IF(ISNUMBER(Datos!M10),Datos!M10," - ")</f>
        <v>8</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16.578947368421055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488</v>
      </c>
      <c r="AA12" s="505" t="str">
        <f>IF(ISNUMBER(IF(J_V="SI",Datos!L12,Datos!L12+Datos!AB12)-IF(Monitorios="SI",Datos!CD12,0)),
                          IF(J_V="SI",Datos!L12,Datos!L12+Datos!AB12)-IF(Monitorios="SI",Datos!CD12,0),
                          " - ")</f>
        <v xml:space="preserve"> - </v>
      </c>
      <c r="AB12" s="503"/>
      <c r="AC12" s="503"/>
      <c r="AD12" s="516"/>
      <c r="AE12" s="516">
        <f>IF(ISNUMBER(Datos!R12),Datos!R12," - ")</f>
        <v>8140</v>
      </c>
      <c r="AF12" s="619" t="str">
        <f>IF(ISNUMBER(Datos!BV12),Datos!BV12," - ")</f>
        <v xml:space="preserve"> - </v>
      </c>
      <c r="AG12" s="506" t="str">
        <f>IF(ISNUMBER(Datos!DV12),Datos!DV12," - ")</f>
        <v xml:space="preserve"> - </v>
      </c>
      <c r="AH12" s="507"/>
      <c r="AI12" s="508"/>
      <c r="AJ12" s="506">
        <f>IF(ISNUMBER(Datos!M12),Datos!M12," - ")</f>
        <v>364</v>
      </c>
      <c r="AK12" s="619">
        <f>IF(ISNUMBER(Datos!N12),Datos!N12," - ")</f>
        <v>840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11.827837259100644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2.0945691709519629E-2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96</v>
      </c>
      <c r="G13" s="1044">
        <f>SUBTOTAL(9,G8:G12)</f>
        <v>96</v>
      </c>
      <c r="H13" s="1054"/>
      <c r="I13" s="1044">
        <f t="shared" ref="I13:N13" si="0">SUBTOTAL(9,I8:I12)</f>
        <v>0</v>
      </c>
      <c r="J13" s="1013">
        <f t="shared" si="0"/>
        <v>0</v>
      </c>
      <c r="K13" s="1054">
        <f t="shared" si="0"/>
        <v>0</v>
      </c>
      <c r="L13" s="1054">
        <f t="shared" si="0"/>
        <v>0</v>
      </c>
      <c r="M13" s="1054">
        <f t="shared" si="0"/>
        <v>0</v>
      </c>
      <c r="N13" s="1054">
        <f t="shared" si="0"/>
        <v>658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489</v>
      </c>
      <c r="AA13" s="1046">
        <f t="shared" si="2"/>
        <v>105</v>
      </c>
      <c r="AB13" s="1046">
        <f t="shared" si="2"/>
        <v>0</v>
      </c>
      <c r="AC13" s="1046">
        <f t="shared" si="2"/>
        <v>0</v>
      </c>
      <c r="AD13" s="1046">
        <f t="shared" si="2"/>
        <v>0</v>
      </c>
      <c r="AE13" s="1046">
        <f t="shared" si="2"/>
        <v>8192</v>
      </c>
      <c r="AF13" s="1054">
        <f t="shared" si="2"/>
        <v>0</v>
      </c>
      <c r="AG13" s="1054">
        <f t="shared" si="2"/>
        <v>0</v>
      </c>
      <c r="AH13" s="1054">
        <f t="shared" si="2"/>
        <v>0</v>
      </c>
      <c r="AI13" s="1054">
        <f t="shared" si="2"/>
        <v>0</v>
      </c>
      <c r="AJ13" s="1054">
        <f t="shared" si="2"/>
        <v>372</v>
      </c>
      <c r="AK13" s="1054">
        <f t="shared" si="2"/>
        <v>851</v>
      </c>
      <c r="AL13" s="1054">
        <f t="shared" si="2"/>
        <v>0</v>
      </c>
      <c r="AM13" s="1054">
        <f t="shared" si="2"/>
        <v>0</v>
      </c>
      <c r="AN13" s="1054">
        <f t="shared" si="2"/>
        <v>0</v>
      </c>
      <c r="AO13" s="1050">
        <f>IF(ISNUMBER(((NºAsuntos!I13/NºAsuntos!G13)*11)/factor_trimestre),((NºAsuntos!I13/NºAsuntos!G13)*11)/factor_trimestre," - ")</f>
        <v>11.866185216652507</v>
      </c>
      <c r="AP13" s="1056" t="str">
        <f>IF(ISNUMBER(Datos!CI13/Datos!CJ13),Datos!CI13/Datos!CJ13," - ")</f>
        <v xml:space="preserve"> - </v>
      </c>
      <c r="AQ13" s="1074">
        <f t="shared" ref="AQ13:AV13" si="3">SUBTOTAL(9,AQ9:AQ12)</f>
        <v>0</v>
      </c>
      <c r="AR13" s="1074">
        <f t="shared" si="3"/>
        <v>6.0945691709519634E-2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2715</v>
      </c>
      <c r="G16" s="506">
        <f>IF(ISNUMBER(IF(D_I="SI",Datos!I16,Datos!I16+Datos!AC16)),IF(D_I="SI",Datos!I16,Datos!I16+Datos!AC16)," - ")</f>
        <v>2714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1720</v>
      </c>
      <c r="Z16" s="703">
        <f>IF(ISNUMBER(Datos!Q16),Datos!Q16," - ")</f>
        <v>70</v>
      </c>
      <c r="AA16" s="505">
        <f>IF(ISNUMBER(IF(D_I="SI",Datos!L16,Datos!L16+Datos!AF16)),IF(D_I="SI",Datos!L16,Datos!L16+Datos!AF16)," - ")</f>
        <v>2841</v>
      </c>
      <c r="AB16" s="503"/>
      <c r="AC16" s="503"/>
      <c r="AD16" s="516"/>
      <c r="AE16" s="516">
        <f>IF(ISNUMBER(Datos!R16),Datos!R16," - ")</f>
        <v>303</v>
      </c>
      <c r="AF16" s="619" t="str">
        <f>IF(ISNUMBER(Datos!BV16),Datos!BV16," - ")</f>
        <v xml:space="preserve"> - </v>
      </c>
      <c r="AG16" s="506"/>
      <c r="AH16" s="507"/>
      <c r="AI16" s="508"/>
      <c r="AJ16" s="506">
        <f>IF(ISNUMBER(Datos!M16),Datos!M16," - ")</f>
        <v>251</v>
      </c>
      <c r="AK16" s="619">
        <f>IF(ISNUMBER(Datos!N16),Datos!N16," - ")</f>
        <v>808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4.9552325581395342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135</v>
      </c>
      <c r="Z17" s="703">
        <f>IF(ISNUMBER(Datos!Q17),Datos!Q17," - ")</f>
        <v>0</v>
      </c>
      <c r="AA17" s="505">
        <f>IF(ISNUMBER(Datos!L17),Datos!L17,"-")</f>
        <v>200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18</v>
      </c>
      <c r="AK17" s="619">
        <f>IF(ISNUMBER(Datos!N17),Datos!N17," - ")</f>
        <v>73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4.4444444444444438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2715</v>
      </c>
      <c r="G18" s="1044">
        <f>SUBTOTAL(9,G15:G17)</f>
        <v>2904</v>
      </c>
      <c r="H18" s="1078">
        <f>SUBTOTAL(9,H15:H17)</f>
        <v>0</v>
      </c>
      <c r="I18" s="1057">
        <f>SUBTOTAL(9,I15:I17)</f>
        <v>0</v>
      </c>
      <c r="J18" s="1013">
        <f>SUBTOTAL(9,J14:J17)</f>
        <v>0</v>
      </c>
      <c r="K18" s="1078">
        <f t="shared" ref="K18:S18" si="4">SUBTOTAL(9,K15:K17)</f>
        <v>0</v>
      </c>
      <c r="L18" s="1078">
        <f t="shared" si="4"/>
        <v>0</v>
      </c>
      <c r="M18" s="1078">
        <f t="shared" si="4"/>
        <v>0</v>
      </c>
      <c r="N18" s="1078">
        <f t="shared" si="4"/>
        <v>61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1855</v>
      </c>
      <c r="Z18" s="1078">
        <f t="shared" si="5"/>
        <v>70</v>
      </c>
      <c r="AA18" s="1078">
        <f t="shared" si="5"/>
        <v>3041</v>
      </c>
      <c r="AB18" s="1078">
        <f t="shared" si="5"/>
        <v>0</v>
      </c>
      <c r="AC18" s="1078">
        <f t="shared" si="5"/>
        <v>0</v>
      </c>
      <c r="AD18" s="1078">
        <f t="shared" si="5"/>
        <v>0</v>
      </c>
      <c r="AE18" s="1078">
        <f t="shared" si="5"/>
        <v>303</v>
      </c>
      <c r="AF18" s="1078">
        <f t="shared" si="5"/>
        <v>0</v>
      </c>
      <c r="AG18" s="1078">
        <f t="shared" si="5"/>
        <v>0</v>
      </c>
      <c r="AH18" s="1078">
        <f t="shared" si="5"/>
        <v>0</v>
      </c>
      <c r="AI18" s="1078">
        <f t="shared" si="5"/>
        <v>0</v>
      </c>
      <c r="AJ18" s="1078">
        <f t="shared" si="5"/>
        <v>269</v>
      </c>
      <c r="AK18" s="1078">
        <f t="shared" si="5"/>
        <v>881</v>
      </c>
      <c r="AL18" s="1078">
        <f t="shared" si="5"/>
        <v>0</v>
      </c>
      <c r="AM18" s="1078">
        <f t="shared" si="5"/>
        <v>0</v>
      </c>
      <c r="AN18" s="1078">
        <f t="shared" si="5"/>
        <v>0</v>
      </c>
      <c r="AO18" s="1080">
        <f>IF(ISNUMBER(((NºAsuntos!I18/NºAsuntos!G18)*11)/factor_trimestre),((NºAsuntos!I18/NºAsuntos!G18)*11)/factor_trimestre," - ")</f>
        <v>4.9180592991913752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2811</v>
      </c>
      <c r="G19" s="966">
        <f t="shared" si="7"/>
        <v>3000</v>
      </c>
      <c r="H19" s="967">
        <f t="shared" si="7"/>
        <v>0</v>
      </c>
      <c r="I19" s="966">
        <f t="shared" si="7"/>
        <v>0</v>
      </c>
      <c r="J19" s="968">
        <f t="shared" si="7"/>
        <v>0</v>
      </c>
      <c r="K19" s="966">
        <f t="shared" si="7"/>
        <v>0</v>
      </c>
      <c r="L19" s="969">
        <f t="shared" si="7"/>
        <v>0</v>
      </c>
      <c r="M19" s="966">
        <f t="shared" si="7"/>
        <v>0</v>
      </c>
      <c r="N19" s="967">
        <f t="shared" si="7"/>
        <v>719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1874</v>
      </c>
      <c r="Z19" s="973">
        <f t="shared" si="8"/>
        <v>559</v>
      </c>
      <c r="AA19" s="974">
        <f t="shared" si="8"/>
        <v>3146</v>
      </c>
      <c r="AB19" s="974">
        <f t="shared" si="8"/>
        <v>0</v>
      </c>
      <c r="AC19" s="974">
        <f t="shared" si="8"/>
        <v>0</v>
      </c>
      <c r="AD19" s="975">
        <f t="shared" si="8"/>
        <v>0</v>
      </c>
      <c r="AE19" s="975">
        <f t="shared" si="8"/>
        <v>8495</v>
      </c>
      <c r="AF19" s="976">
        <f t="shared" si="8"/>
        <v>0</v>
      </c>
      <c r="AG19" s="977">
        <f t="shared" si="8"/>
        <v>0</v>
      </c>
      <c r="AH19" s="978">
        <f t="shared" si="8"/>
        <v>0</v>
      </c>
      <c r="AI19" s="976">
        <f t="shared" si="8"/>
        <v>0</v>
      </c>
      <c r="AJ19" s="966">
        <f t="shared" si="8"/>
        <v>641</v>
      </c>
      <c r="AK19" s="966">
        <f t="shared" si="8"/>
        <v>1732</v>
      </c>
      <c r="AL19" s="966">
        <f t="shared" si="8"/>
        <v>0</v>
      </c>
      <c r="AM19" s="979">
        <f t="shared" si="8"/>
        <v>0</v>
      </c>
      <c r="AN19" s="969">
        <f>IF(ISNUMBER(Datos!K19/Datos!J19),Datos!K19/Datos!J19," - ")</f>
        <v>0.64848088859849717</v>
      </c>
      <c r="AO19" s="969">
        <f>IF(ISNUMBER(FIND("06",Criterios!A8,1)),(IF(ISNUMBER(((Datos!R19/Datos!Q19)*11)/factor_trimestre),((Datos!R19/Datos!Q19)*11)/factor_trimestre," - ")),(IF(ISNUMBER(((Datos!L19/Datos!K19)*11)/factor_trimestre),((Datos!L19/Datos!K19)*11)/factor_trimestre," - ")))</f>
        <v>9.0906801007556677</v>
      </c>
      <c r="AP19" s="980" t="str">
        <f>IF(ISNUMBER(Datos!CI19/Datos!CJ19),Datos!CI19/Datos!CJ19," - ")</f>
        <v xml:space="preserve"> - </v>
      </c>
      <c r="AQ19" s="980">
        <f>IF(OR(ISNUMBER(FIND("01",Criterios!A8,1)),ISNUMBER(FIND("02",Criterios!A8,1)),ISNUMBER(FIND("03",Criterios!A8,1)),ISNUMBER(FIND("04",Criterios!A8,1))),(J19-Y19+K19)/(F19-K19),(I19-Y19+K19)/(F19-K19))</f>
        <v>-0.66666666666666663</v>
      </c>
      <c r="AR19" s="980">
        <f>IF(ISNUMBER((Datos!P19-Datos!Q19+O19)/(Datos!R19-Datos!P19+Datos!Q19-O19)),(Datos!P19-Datos!Q19+O19)/(Datos!R19-Datos!P19+Datos!Q19-O19)," - ")</f>
        <v>1.9196160767846429E-2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1200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1512.0803550076298</v>
      </c>
      <c r="G21" s="600">
        <f>IF(ISNUMBER(STDEV(G8:G18)),STDEV(G8:G18),"-")</f>
        <v>1470.8453351729406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162.91674765556382</v>
      </c>
      <c r="AK21" s="256"/>
      <c r="AL21" s="256">
        <f>IF(ISNUMBER(STDEV(AL8:AL18)),STDEV(AL8:AL18),"-")</f>
        <v>0</v>
      </c>
      <c r="AM21" s="258">
        <f>IF(ISNUMBER(STDEV(AM8:AM18)),STDEV(AM8:AM18),"-")</f>
        <v>0</v>
      </c>
      <c r="AN21" s="586">
        <f>IF(ISNUMBER(STDEV(AN8:AN18)),STDEV(AN8:AN18),"-")</f>
        <v>0</v>
      </c>
      <c r="AO21" s="587">
        <f>IF(ISNUMBER(STDEV(AO8:AO18)),STDEV(AO8:AO18),"-")</f>
        <v>5.047166310152134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xLX93D1h3NLQKD4HBc2HJY6GU5v13eeEjTR9qW+YMEZp/AyIqVWaDyjm/KjboqbBvhdbhhl2tjh6OKaI2Im8Q==" saltValue="CS8laPO5Azi1nDw9YQ/H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M7oq5iyiVVglKRntV0mf6dJN0LAO+ry4eXNsW/WcWPoeWpHXhOTWeqMb0ggKCmzZ7wHNY8oONOyeovQlkAUGQ==" saltValue="jHj/4W1+p2ASOo9IMo9q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wA1mhzxooD/74pZQHNzDjTRGUZfd2X3pUNE9TxzrySm6//37h2zqPsEj2ZKx2+p5eL8TrnSwOQVqg6mBSqDaA==" saltValue="B5oB/HuqBO+fG4fYq11h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CERDANYOLA DEL VALLES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0.1580288870008496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0.11174329762166341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WZyatnTWoqU1ABoyBKptdZpxmbQRBKhcVJIdbpmQdFq++rJJzlCMMRFkTyZuh6mpx4A/10dJ2xN5b/n8pPqww==" saltValue="o02txfaygUjszhSj8ol0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qtJrdBKtdxWhxPHqk2CbNAKoYbxtnG1esM+Z3CqIzdrOA8W6J5YZQgvYZPB61WjliM4G8OyfS72LGNFgv4y8Q==" saltValue="+HPQ7135SLHCu+JGdMjd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CERDANYOLA DEL VALLES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96</v>
      </c>
      <c r="D10" s="415">
        <f>IF(ISNUMBER(C10/Datos!BH10),C10/Datos!BH10," - ")</f>
        <v>96</v>
      </c>
      <c r="E10" s="414">
        <f>IF(ISNUMBER(Datos!J10),Datos!J10," - ")</f>
        <v>28</v>
      </c>
      <c r="F10" s="415">
        <f>IF(ISNUMBER(E10/B10),E10/B10," - ")</f>
        <v>28</v>
      </c>
      <c r="G10" s="414">
        <f>IF(ISNUMBER(Datos!K10),Datos!K10," - ")</f>
        <v>19</v>
      </c>
      <c r="H10" s="415">
        <f>IF(ISNUMBER(G10/B10),G10/B10," - ")</f>
        <v>19</v>
      </c>
      <c r="I10" s="414">
        <f>IF(ISNUMBER(Datos!L10),Datos!L10," - ")</f>
        <v>105</v>
      </c>
      <c r="J10" s="415">
        <f>IF(ISNUMBER(I10/B10),I10/B10," - ")</f>
        <v>105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7022</v>
      </c>
      <c r="D12" s="415">
        <f>IF(ISNUMBER(C12/Datos!BH12),C12/Datos!BH12," - ")</f>
        <v>877.75</v>
      </c>
      <c r="E12" s="414">
        <f>IF(ISNUMBER(IF(J_V="SI",Datos!J12,Datos!J12+Datos!Z12)),IF(J_V="SI",Datos!J12,Datos!J12+Datos!Z12)," - ")</f>
        <v>4429</v>
      </c>
      <c r="F12" s="415">
        <f>IF(ISNUMBER(E12/B12),E12/B12," - ")</f>
        <v>553.625</v>
      </c>
      <c r="G12" s="414">
        <f>IF(ISNUMBER(IF(J_V="SI",Datos!K12,Datos!K12+Datos!AA12)),IF(J_V="SI",Datos!K12,Datos!K12+Datos!AA12)," - ")</f>
        <v>2335</v>
      </c>
      <c r="H12" s="415">
        <f>IF(ISNUMBER(G12/B12),G12/B12," - ")</f>
        <v>291.875</v>
      </c>
      <c r="I12" s="414">
        <f>IF(ISNUMBER(IF(J_V="SI",Datos!L12,Datos!L12+Datos!AB12)),IF(J_V="SI",Datos!L12,Datos!L12+Datos!AB12)," - ")</f>
        <v>9206</v>
      </c>
      <c r="J12" s="415">
        <f>IF(ISNUMBER(I12/B12),I12/B12," - ")</f>
        <v>1150.75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7118</v>
      </c>
      <c r="D13" s="996" t="str">
        <f>IF(ISNUMBER(C13/Datos!BI13),C13/Datos!BI13," - ")</f>
        <v xml:space="preserve"> - </v>
      </c>
      <c r="E13" s="995">
        <f>SUBTOTAL(9,E8:E12)</f>
        <v>4457</v>
      </c>
      <c r="F13" s="996">
        <f>IF(ISNUMBER(E13/B13),E13/B13," - ")</f>
        <v>557.125</v>
      </c>
      <c r="G13" s="995">
        <f>SUBTOTAL(9,G8:G12)</f>
        <v>2354</v>
      </c>
      <c r="H13" s="996">
        <f>IF(ISNUMBER(G13/B13),G13/B13," - ")</f>
        <v>294.25</v>
      </c>
      <c r="I13" s="995">
        <f>SUBTOTAL(9,I8:I12)</f>
        <v>9311</v>
      </c>
      <c r="J13" s="996">
        <f>IF(ISNUMBER(I13/B13),I13/B13," - ")</f>
        <v>1163.875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2714</v>
      </c>
      <c r="D16" s="415">
        <f>IF(ISNUMBER(C16/Datos!BH16),C16/Datos!BH16," - ")</f>
        <v>339.25</v>
      </c>
      <c r="E16" s="414">
        <f>IF(ISNUMBER(IF(D_I="SI",Datos!J16,Datos!J16+Datos!AD16)),IF(D_I="SI",Datos!J16,Datos!J16+Datos!AD16)," - ")</f>
        <v>1846</v>
      </c>
      <c r="F16" s="415">
        <f>IF(ISNUMBER(E16/B16),E16/B16," - ")</f>
        <v>230.75</v>
      </c>
      <c r="G16" s="414">
        <f>IF(ISNUMBER(IF(D_I="SI",Datos!K16,Datos!K16+Datos!AE16)),IF(D_I="SI",Datos!K16,Datos!K16+Datos!AE16)," - ")</f>
        <v>1720</v>
      </c>
      <c r="H16" s="415">
        <f>IF(ISNUMBER(G16/B16),G16/B16," - ")</f>
        <v>215</v>
      </c>
      <c r="I16" s="414">
        <f>IF(ISNUMBER(IF(D_I="SI",Datos!L16,Datos!L16+Datos!AF16)),IF(D_I="SI",Datos!L16,Datos!L16+Datos!AF16)," - ")</f>
        <v>2841</v>
      </c>
      <c r="J16" s="415">
        <f>IF(ISNUMBER(I16/B16),I16/B16," - ")</f>
        <v>355.125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190</v>
      </c>
      <c r="D17" s="415">
        <f>IF(ISNUMBER(C17/Datos!BH17),C17/Datos!BH17," - ")</f>
        <v>190</v>
      </c>
      <c r="E17" s="414">
        <f>IF(ISNUMBER(IF(D_I="SI",Datos!J17,Datos!J17+Datos!AD17)),IF(D_I="SI",Datos!J17,Datos!J17+Datos!AD17)," - ")</f>
        <v>145</v>
      </c>
      <c r="F17" s="415">
        <f>IF(ISNUMBER(E17/B17),E17/B17," - ")</f>
        <v>145</v>
      </c>
      <c r="G17" s="414">
        <f>IF(ISNUMBER(IF(D_I="SI",Datos!K17,Datos!K17+Datos!AE17)),IF(D_I="SI",Datos!K17,Datos!K17+Datos!AE17)," - ")</f>
        <v>135</v>
      </c>
      <c r="H17" s="415">
        <f>IF(ISNUMBER(G17/B17),G17/B17," - ")</f>
        <v>135</v>
      </c>
      <c r="I17" s="414">
        <f>IF(ISNUMBER(IF(D_I="SI",Datos!L17,Datos!L17+Datos!AF17)),IF(D_I="SI",Datos!L17,Datos!L17+Datos!AF17)," - ")</f>
        <v>200</v>
      </c>
      <c r="J17" s="415">
        <f>IF(ISNUMBER(I17/B17),I17/B17," - ")</f>
        <v>200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2904</v>
      </c>
      <c r="D18" s="996" t="str">
        <f>IF(ISNUMBER(C18/Datos!BI18),C18/Datos!BI18," - ")</f>
        <v xml:space="preserve"> - </v>
      </c>
      <c r="E18" s="995">
        <f>SUBTOTAL(9,E14:E17)</f>
        <v>1991</v>
      </c>
      <c r="F18" s="996">
        <f>IF(ISNUMBER(E18/B18),E18/B18," - ")</f>
        <v>248.875</v>
      </c>
      <c r="G18" s="995">
        <f>SUBTOTAL(9,G14:G17)</f>
        <v>1855</v>
      </c>
      <c r="H18" s="996">
        <f>IF(ISNUMBER(G18/B18),G18/B18," - ")</f>
        <v>231.875</v>
      </c>
      <c r="I18" s="995">
        <f>SUBTOTAL(9,I14:I17)</f>
        <v>3041</v>
      </c>
      <c r="J18" s="996">
        <f>IF(ISNUMBER(I18/B18),I18/B18," - ")</f>
        <v>380.125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10022</v>
      </c>
      <c r="D19" s="941" t="str">
        <f>IF(ISNUMBER(C19/Datos!BI19),C19/Datos!BI19," - ")</f>
        <v xml:space="preserve"> - </v>
      </c>
      <c r="E19" s="940">
        <f>SUBTOTAL(9,E9:E18)</f>
        <v>6448</v>
      </c>
      <c r="F19" s="941">
        <f>IF(ISNUMBER(E19/B19),E19/B19," - ")</f>
        <v>806</v>
      </c>
      <c r="G19" s="940">
        <f>SUBTOTAL(9,G9:G18)</f>
        <v>4209</v>
      </c>
      <c r="H19" s="941">
        <f>IF(ISNUMBER(G19/B19),G19/B19," - ")</f>
        <v>526.125</v>
      </c>
      <c r="I19" s="940">
        <f>SUBTOTAL(9,I9:I18)</f>
        <v>12352</v>
      </c>
      <c r="J19" s="941">
        <f>IF(ISNUMBER(I19/B19),I19/B19," - ")</f>
        <v>1544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A7hoeK/JwTBMSgT3XaAV77eY82sW22wGzTQp0OmYtztCMlGHgWYlDRYmb9m+KqVFPVk/ozvBp/jllJ2mCv5Jg==" saltValue="syutzjYDP/KzwbR4kc98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CERDANYOLA DEL VALLES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96</v>
      </c>
      <c r="G10" s="802">
        <f>IF(ISNUMBER(Datos!I10),Datos!I10," - ")</f>
        <v>96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105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16.578947368421055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8140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364</v>
      </c>
      <c r="AM12" s="810">
        <f>IF(ISNUMBER(Datos!N12+DatosP!N16),Datos!N12+DatosP!N16," - ")</f>
        <v>840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11.827837259100644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2.0945691709519629E-2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96</v>
      </c>
      <c r="G13" s="1084">
        <f t="shared" si="0"/>
        <v>96</v>
      </c>
      <c r="H13" s="1084">
        <f t="shared" si="0"/>
        <v>0</v>
      </c>
      <c r="I13" s="1086">
        <f t="shared" si="0"/>
        <v>0</v>
      </c>
      <c r="J13" s="1085">
        <f t="shared" si="0"/>
        <v>0</v>
      </c>
      <c r="K13" s="1085">
        <f t="shared" si="0"/>
        <v>0</v>
      </c>
      <c r="L13" s="1087">
        <f t="shared" si="0"/>
        <v>0</v>
      </c>
      <c r="M13" s="1087">
        <f t="shared" si="0"/>
        <v>0</v>
      </c>
      <c r="N13" s="1085">
        <f t="shared" si="0"/>
        <v>658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488</v>
      </c>
      <c r="AE13" s="1085">
        <f t="shared" si="1"/>
        <v>0</v>
      </c>
      <c r="AF13" s="1085">
        <f t="shared" si="1"/>
        <v>105</v>
      </c>
      <c r="AG13" s="1085">
        <f t="shared" si="1"/>
        <v>0</v>
      </c>
      <c r="AH13" s="1085">
        <f t="shared" si="1"/>
        <v>8140</v>
      </c>
      <c r="AI13" s="1085">
        <f t="shared" si="1"/>
        <v>0</v>
      </c>
      <c r="AJ13" s="1085">
        <f t="shared" si="1"/>
        <v>0</v>
      </c>
      <c r="AK13" s="1085">
        <f t="shared" si="1"/>
        <v>0</v>
      </c>
      <c r="AL13" s="1085">
        <f t="shared" si="1"/>
        <v>372</v>
      </c>
      <c r="AM13" s="1085">
        <f t="shared" si="1"/>
        <v>851</v>
      </c>
      <c r="AN13" s="1085">
        <f t="shared" si="1"/>
        <v>0</v>
      </c>
      <c r="AO13" s="1085">
        <f t="shared" si="1"/>
        <v>0</v>
      </c>
      <c r="AP13" s="1090">
        <f>IF(ISNUMBER(((Datos!L13/Datos!K13)*11)/factor_trimestre),((Datos!L13/Datos!K13)*11)/factor_trimestre," - ")</f>
        <v>12.750354609929078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-0.19791666666666666</v>
      </c>
      <c r="AU13" s="1085" t="str">
        <f>IF(ISNUMBER((DatosP!#REF!-DatosP!#REF!+DatosP!#REF!)/(DatosP!#REF!+DatosP!#REF!-DatosP!#REF!-DatosP!#REF!)),(DatosP!#REF!-DatosP!#REF!+DatosP!#REF!)/(DatosP!#REF!+DatosP!#REF!-DatosP!#REF!-DatosP!#REF!)," - ")</f>
        <v xml:space="preserve"> - </v>
      </c>
      <c r="AV13" s="1091">
        <f>SUBTOTAL(9,AV9:AV12)</f>
        <v>2.0945691709519629E-2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4.9180592991913752</v>
      </c>
      <c r="AQ18" s="1090">
        <f>IF(ISNUMBER(((Datos!M18/Datos!L18)*11)/factor_trimestre),((Datos!M18/Datos!L18)*11)/factor_trimestre," - ")</f>
        <v>0.26537323248931277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-2.8846153846153848E-2</v>
      </c>
      <c r="AW18" s="1092">
        <f>IF(ISNUMBER((Datos!Q18-Datos!R18)/(Datos!S18-Datos!Q18+Datos!R18)),(Datos!Q18-Datos!R18)/(Datos!S18-Datos!Q18+Datos!R18)," - ")</f>
        <v>-8.8593155893536127E-2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96</v>
      </c>
      <c r="G19" s="1097">
        <f t="shared" si="4"/>
        <v>96</v>
      </c>
      <c r="H19" s="1097">
        <f t="shared" si="4"/>
        <v>0</v>
      </c>
      <c r="I19" s="1098">
        <f t="shared" si="4"/>
        <v>0</v>
      </c>
      <c r="J19" s="1099">
        <f t="shared" si="4"/>
        <v>0</v>
      </c>
      <c r="K19" s="1099">
        <f t="shared" si="4"/>
        <v>0</v>
      </c>
      <c r="L19" s="1099">
        <f t="shared" si="4"/>
        <v>0</v>
      </c>
      <c r="M19" s="1099">
        <f t="shared" si="4"/>
        <v>0</v>
      </c>
      <c r="N19" s="1098">
        <f t="shared" si="4"/>
        <v>658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488</v>
      </c>
      <c r="AE19" s="1103">
        <f t="shared" si="5"/>
        <v>0</v>
      </c>
      <c r="AF19" s="1104">
        <f t="shared" si="5"/>
        <v>105</v>
      </c>
      <c r="AG19" s="1104">
        <f t="shared" si="5"/>
        <v>0</v>
      </c>
      <c r="AH19" s="1104">
        <f t="shared" si="5"/>
        <v>8140</v>
      </c>
      <c r="AI19" s="1104">
        <f t="shared" si="5"/>
        <v>0</v>
      </c>
      <c r="AJ19" s="1105">
        <f t="shared" si="5"/>
        <v>0</v>
      </c>
      <c r="AK19" s="1105">
        <f t="shared" si="5"/>
        <v>0</v>
      </c>
      <c r="AL19" s="1097">
        <f t="shared" si="5"/>
        <v>372</v>
      </c>
      <c r="AM19" s="1097">
        <f t="shared" si="5"/>
        <v>851</v>
      </c>
      <c r="AN19" s="1097">
        <f t="shared" si="5"/>
        <v>0</v>
      </c>
      <c r="AO19" s="1097">
        <f t="shared" si="5"/>
        <v>0</v>
      </c>
      <c r="AP19" s="1097">
        <f>IF(ISNUMBER(((Datos!L19/Datos!K19)*11)/factor_trimestre),((Datos!L19/Datos!K19)*11)/factor_trimestre," - ")</f>
        <v>9.0906801007556677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-0.19791666666666666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1.9196160767846429E-2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55.42562584220407</v>
      </c>
      <c r="G21" s="870">
        <f>IF(ISNUMBER(STDEV(G8:G18)),STDEV(G8:G18),"-")</f>
        <v>55.42562584220407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210.20624792490509</v>
      </c>
      <c r="AM21" s="869"/>
      <c r="AN21" s="869">
        <f>IF(ISNUMBER(STDEV(AN8:AN18)),STDEV(AN8:AN18),"-")</f>
        <v>0</v>
      </c>
      <c r="AO21" s="875">
        <f>IF(ISNUMBER(STDEV(AO8:AO18)),STDEV(AO8:AO18),"-")</f>
        <v>0</v>
      </c>
      <c r="AP21" s="922">
        <f>IF(ISNUMBER(STDEV(AP8:AP18)),STDEV(AP8:AP18),"-")</f>
        <v>4.8575405290537574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VPbdkcYkrP/WODDddfVRJV8miTgKODbvuRCdc2bF6lUczFo1Jfw78iwK+oPDLPTuP352XKuD5EYCrc6n5GIUQ==" saltValue="ZsZ5dFwE/Mbea0tzTEf0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CERDANYOLA DEL VALLES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bHetAryA47f8CiIaA/lpJMlaMrm2zm/2/wYuVaXZ9UwXknXSfiIkSOpeJ8kA/ERElvuv+ZCLiaFmsyUN4+k8w==" saltValue="4x0n2lmR7CnviA9/mGIP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CERDANYOLA DEL VALLES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11</v>
      </c>
      <c r="G10" s="415">
        <f>IF(ISNUMBER(F10/B10),F10/B10," - ")</f>
        <v>11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364</v>
      </c>
      <c r="E12" s="415">
        <f t="shared" si="0"/>
        <v>45.5</v>
      </c>
      <c r="F12" s="414">
        <f>IF(ISNUMBER(Datos!N12),Datos!N12," - ")</f>
        <v>840</v>
      </c>
      <c r="G12" s="415">
        <f t="shared" si="1"/>
        <v>105</v>
      </c>
      <c r="H12" s="414">
        <f>IF(ISNUMBER(Datos!O12),Datos!O12," - ")</f>
        <v>1030</v>
      </c>
      <c r="I12" s="415">
        <f t="shared" si="2"/>
        <v>128.75</v>
      </c>
    </row>
    <row r="13" spans="1:9" ht="14.25" thickTop="1" thickBot="1">
      <c r="A13" s="994" t="str">
        <f>Datos!A13</f>
        <v>TOTAL</v>
      </c>
      <c r="B13" s="995">
        <f>Datos!AO13</f>
        <v>9</v>
      </c>
      <c r="C13" s="997">
        <f>Datos!AR13</f>
        <v>8</v>
      </c>
      <c r="D13" s="995">
        <f>SUBTOTAL(9,D9:D12)</f>
        <v>372</v>
      </c>
      <c r="E13" s="996">
        <f t="shared" si="0"/>
        <v>41.333333333333336</v>
      </c>
      <c r="F13" s="995">
        <f>SUBTOTAL(9,F9:F12)</f>
        <v>851</v>
      </c>
      <c r="G13" s="996">
        <f t="shared" si="1"/>
        <v>94.555555555555557</v>
      </c>
      <c r="H13" s="995">
        <f>SUBTOTAL(9,H9:H12)</f>
        <v>1031</v>
      </c>
      <c r="I13" s="996">
        <f>IF(ISNUMBER(H13/B13),H13/B13," - ")</f>
        <v>114.55555555555556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251</v>
      </c>
      <c r="E16" s="415">
        <f t="shared" si="3"/>
        <v>31.375</v>
      </c>
      <c r="F16" s="414">
        <f>IF(ISNUMBER(Datos!N16),Datos!N16," - ")</f>
        <v>808</v>
      </c>
      <c r="G16" s="415">
        <f t="shared" si="4"/>
        <v>101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73</v>
      </c>
      <c r="G17" s="415">
        <f>IF(ISNUMBER(F17/B17),F17/B17," - ")</f>
        <v>73</v>
      </c>
      <c r="H17" s="414">
        <f>IF(ISNUMBER(Datos!O17),Datos!O17," - ")</f>
        <v>0</v>
      </c>
      <c r="I17" s="415">
        <f t="shared" si="5"/>
        <v>0</v>
      </c>
    </row>
    <row r="18" spans="1:9" ht="14.25" thickTop="1" thickBot="1">
      <c r="A18" s="994" t="str">
        <f>Datos!A18</f>
        <v>TOTAL</v>
      </c>
      <c r="B18" s="995">
        <f>Datos!AO18</f>
        <v>9</v>
      </c>
      <c r="C18" s="997">
        <f>Datos!AR18</f>
        <v>8</v>
      </c>
      <c r="D18" s="995">
        <f>SUBTOTAL(9,D15:D17)</f>
        <v>269</v>
      </c>
      <c r="E18" s="996">
        <f t="shared" si="3"/>
        <v>29.888888888888889</v>
      </c>
      <c r="F18" s="995">
        <f>SUBTOTAL(9,F15:F17)</f>
        <v>881</v>
      </c>
      <c r="G18" s="996">
        <f t="shared" si="4"/>
        <v>97.888888888888886</v>
      </c>
      <c r="H18" s="995">
        <f>SUBTOTAL(9,H15:H17)</f>
        <v>0</v>
      </c>
      <c r="I18" s="996">
        <f>IF(ISNUMBER(H18/B18),H18/B18," - ")</f>
        <v>0</v>
      </c>
    </row>
    <row r="19" spans="1:9" ht="14.25" thickTop="1" thickBot="1">
      <c r="A19" s="939" t="str">
        <f>Datos!A19</f>
        <v>TOTAL JURISDICCIONES</v>
      </c>
      <c r="B19" s="940">
        <f>Datos!AP19</f>
        <v>8</v>
      </c>
      <c r="C19" s="940">
        <f>Datos!AR19</f>
        <v>8</v>
      </c>
      <c r="D19" s="940">
        <f>SUBTOTAL(9,D8:D18)</f>
        <v>641</v>
      </c>
      <c r="E19" s="941">
        <f>IF(ISNUMBER(D19/B19),D19/B19," - ")</f>
        <v>80.125</v>
      </c>
      <c r="F19" s="940">
        <f>SUBTOTAL(9,F8:F18)</f>
        <v>1732</v>
      </c>
      <c r="G19" s="941">
        <f>IF(ISNUMBER(F19/B19),F19/B19," - ")</f>
        <v>216.5</v>
      </c>
      <c r="H19" s="940">
        <f>SUBTOTAL(9,H8:H18)</f>
        <v>1031</v>
      </c>
      <c r="I19" s="941">
        <f>IF(ISNUMBER(H19/B19),H19/B19," - ")</f>
        <v>128.875</v>
      </c>
    </row>
    <row r="22" spans="1:9">
      <c r="A22" s="402" t="str">
        <f>Criterios!A4</f>
        <v>Fecha Informe: 06 oct. 2023</v>
      </c>
    </row>
    <row r="27" spans="1:9">
      <c r="A27" s="425"/>
    </row>
  </sheetData>
  <sheetProtection algorithmName="SHA-512" hashValue="JFPmcKhI6sBeTGFWtj51FkGuMwNCSCTGZgCZzctqY4Fn58JS7YTKlIzj1djTCK9tuDT/5CLdIYb4pVcJjiaw2Q==" saltValue="LYUbYjISqgbTsvQaOVWv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CERDANYOLA DEL VALLES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v>
      </c>
      <c r="D10" s="419">
        <f>IF(ISNUMBER(Datos!R10),Datos!R10," - ")</f>
        <v>52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655</v>
      </c>
      <c r="C12" s="450">
        <f>IF(ISNUMBER(Datos!Q12),Datos!Q12," - ")</f>
        <v>488</v>
      </c>
      <c r="D12" s="419">
        <f>IF(ISNUMBER(Datos!R12),Datos!R12," - ")</f>
        <v>8140</v>
      </c>
    </row>
    <row r="13" spans="1:4" ht="14.25" thickTop="1" thickBot="1">
      <c r="A13" s="994" t="str">
        <f>Datos!A13</f>
        <v>TOTAL</v>
      </c>
      <c r="B13" s="995">
        <f>SUBTOTAL(9,B9:B12)</f>
        <v>658</v>
      </c>
      <c r="C13" s="999">
        <f>SUBTOTAL(9,C9:C12)</f>
        <v>489</v>
      </c>
      <c r="D13" s="997">
        <f>SUBTOTAL(9,D9:D12)</f>
        <v>8192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61</v>
      </c>
      <c r="C16" s="450">
        <f>IF(ISNUMBER(Datos!Q16),Datos!Q16," - ")</f>
        <v>70</v>
      </c>
      <c r="D16" s="419">
        <f>IF(ISNUMBER(Datos!R16),Datos!R16," - ")</f>
        <v>303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61</v>
      </c>
      <c r="C18" s="999">
        <f>SUBTOTAL(9,C15:C17)</f>
        <v>70</v>
      </c>
      <c r="D18" s="997">
        <f>SUBTOTAL(9,D15:D17)</f>
        <v>303</v>
      </c>
    </row>
    <row r="19" spans="1:4" ht="16.5" customHeight="1" thickTop="1" thickBot="1">
      <c r="A19" s="939" t="str">
        <f>Datos!A19</f>
        <v>TOTAL JURISDICCIONES</v>
      </c>
      <c r="B19" s="944">
        <f>SUBTOTAL(9,B8:B18)</f>
        <v>719</v>
      </c>
      <c r="C19" s="945">
        <f>SUBTOTAL(9,C8:C18)</f>
        <v>559</v>
      </c>
      <c r="D19" s="946">
        <f>SUBTOTAL(9,D8:D18)</f>
        <v>8495</v>
      </c>
    </row>
    <row r="20" spans="1:4" ht="7.5" customHeight="1"/>
    <row r="21" spans="1:4" ht="6" customHeight="1"/>
    <row r="22" spans="1:4">
      <c r="A22" s="402" t="str">
        <f>Criterios!A4</f>
        <v>Fecha Informe: 06 oct. 2023</v>
      </c>
    </row>
    <row r="27" spans="1:4">
      <c r="A27" s="425"/>
    </row>
  </sheetData>
  <sheetProtection algorithmName="SHA-512" hashValue="v1tF8U8PBVbIF3dKPJMNh+y/awWtJvg1rbQiRQIpHyzn/7/YRFUp1PVirLZ9fr9S8TFBdVvkFmXzItftc7Yh3A==" saltValue="oSB0TkFhkrwT4mQRKRPC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CERDANYOLA DEL VALLES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0.52380952380952384</v>
      </c>
      <c r="C10" s="472">
        <f>IF(ISNUMBER((Datos!J10-Datos!T10)/Datos!T10),(Datos!J10-Datos!T10)/Datos!T10," - ")</f>
        <v>0.33333333333333331</v>
      </c>
      <c r="D10" s="472">
        <f>IF(ISNUMBER((Datos!K10-Datos!U10)/Datos!U10),(Datos!K10-Datos!U10)/Datos!U10," - ")</f>
        <v>1.375</v>
      </c>
      <c r="E10" s="472">
        <f>IF(ISNUMBER((Datos!L10-Datos!V10)/Datos!V10),(Datos!L10-Datos!V10)/Datos!V10," - ")</f>
        <v>0.38157894736842107</v>
      </c>
      <c r="F10" s="472">
        <f>IF(ISNUMBER((Datos!M10-Datos!W10)/Datos!W10),(Datos!M10-Datos!W10)/Datos!W10," - ")</f>
        <v>0.6</v>
      </c>
      <c r="G10" s="473">
        <f>IF(ISNUMBER((Datos!N10-Datos!X10)/Datos!X10),(Datos!N10-Datos!X10)/Datos!X10," - ")</f>
        <v>2.6666666666666665</v>
      </c>
      <c r="H10" s="471">
        <f>IF(ISNUMBER(((NºAsuntos!G10/NºAsuntos!E10)-Datos!BD10)/Datos!BD10),((NºAsuntos!G10/NºAsuntos!E10)-Datos!BD10)/Datos!BD10," - ")</f>
        <v>0.78125000000000022</v>
      </c>
      <c r="I10" s="472">
        <f>IF(ISNUMBER(((NºAsuntos!I10/NºAsuntos!G10)-Datos!BE10)/Datos!BE10),((NºAsuntos!I10/NºAsuntos!G10)-Datos!BE10)/Datos!BE10," - ")</f>
        <v>-0.4182825484764543</v>
      </c>
      <c r="J10" s="477">
        <f>IF(ISNUMBER((('Resol  Asuntos'!D10/NºAsuntos!G10)-Datos!BF10)/Datos!BF10),(('Resol  Asuntos'!D10/NºAsuntos!G10)-Datos!BF10)/Datos!BF10," - ")</f>
        <v>-0.32631578947368423</v>
      </c>
      <c r="K10" s="478">
        <f>IF(ISNUMBER((((NºAsuntos!C10+NºAsuntos!E10)/NºAsuntos!G10)-Datos!BG10)/Datos!BG10),(((NºAsuntos!C10+NºAsuntos!E10)/NºAsuntos!G10)-Datos!BG10)/Datos!BG10," - ")</f>
        <v>-0.37844611528822059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-4.3952927832128169E-3</v>
      </c>
      <c r="C12" s="472">
        <f>IF(ISNUMBER(
   IF(J_V="SI",(Datos!J12-Datos!T12)/Datos!T12,(Datos!J12+Datos!Z12-(Datos!T12+Datos!AH12))/(Datos!T12+Datos!AH12))
     ),IF(J_V="SI",(Datos!J12-Datos!T12)/Datos!T12,(Datos!J12+Datos!Z12-(Datos!T12+Datos!AH12))/(Datos!T12+Datos!AH12))," - ")</f>
        <v>0.93829321663019694</v>
      </c>
      <c r="D12" s="472">
        <f>IF(ISNUMBER(
   IF(J_V="SI",(Datos!K12-Datos!U12)/Datos!U12,(Datos!K12+Datos!AA12-(Datos!U12+Datos!AI12))/(Datos!U12+Datos!AI12))
     ),IF(J_V="SI",(Datos!K12-Datos!U12)/Datos!U12,(Datos!K12+Datos!AA12-(Datos!U12+Datos!AI12))/(Datos!U12+Datos!AI12))," - ")</f>
        <v>7.455131155085136E-2</v>
      </c>
      <c r="E12" s="472">
        <f>IF(ISNUMBER(
   IF(J_V="SI",(Datos!L12-Datos!V12)/Datos!V12,(Datos!L12+Datos!AB12-(Datos!V12+Datos!AJ12))/(Datos!V12+Datos!AJ12))
     ),IF(J_V="SI",(Datos!L12-Datos!V12)/Datos!V12,(Datos!L12+Datos!AB12-(Datos!V12+Datos!AJ12))/(Datos!V12+Datos!AJ12))," - ")</f>
        <v>0.2971678173876286</v>
      </c>
      <c r="F12" s="472">
        <f>IF(ISNUMBER((Datos!M12-Datos!W12)/Datos!W12),(Datos!M12-Datos!W12)/Datos!W12," - ")</f>
        <v>-0.28487229862475444</v>
      </c>
      <c r="G12" s="473">
        <f>IF(ISNUMBER((Datos!N12-Datos!X12)/Datos!X12),(Datos!N12-Datos!X12)/Datos!X12," - ")</f>
        <v>0.1650485436893204</v>
      </c>
      <c r="H12" s="471">
        <f>IF(ISNUMBER(((NºAsuntos!G12/NºAsuntos!E12)-Datos!BD12)/Datos!BD12),((NºAsuntos!G12/NºAsuntos!E12)-Datos!BD12)/Datos!BD12," - ")</f>
        <v>-0.44561983587859672</v>
      </c>
      <c r="I12" s="472">
        <f>IF(ISNUMBER(((NºAsuntos!I12/NºAsuntos!G12)-Datos!BE12)/Datos!BE12),((NºAsuntos!I12/NºAsuntos!G12)-Datos!BE12)/Datos!BE12," - ")</f>
        <v>0.2071715919414634</v>
      </c>
      <c r="J12" s="477">
        <f>IF(ISNUMBER((('Resol  Asuntos'!D12/NºAsuntos!G12)-Datos!BF12)/Datos!BF12),(('Resol  Asuntos'!D12/NºAsuntos!G12)-Datos!BF12)/Datos!BF12," - ")</f>
        <v>-0.53017192989750728</v>
      </c>
      <c r="K12" s="478">
        <f>IF(ISNUMBER((((NºAsuntos!C12+NºAsuntos!E12)/NºAsuntos!G12)-Datos!BG12)/Datos!BG12),(((NºAsuntos!C12+NºAsuntos!E12)/NºAsuntos!G12)-Datos!BG12)/Datos!BG12," - ")</f>
        <v>0.14120163839768707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2.8105677346824059E-4</v>
      </c>
      <c r="C13" s="1001">
        <f>IF(ISNUMBER(
   IF(J_V="SI",(Datos!J13-Datos!T13)/Datos!T13,(Datos!J13+Datos!Z13-(Datos!T13+Datos!AH13))/(Datos!T13+Datos!AH13))
     ),IF(J_V="SI",(Datos!J13-Datos!T13)/Datos!T13,(Datos!J13+Datos!Z13-(Datos!T13+Datos!AH13))/(Datos!T13+Datos!AH13))," - ")</f>
        <v>0.93278404163052908</v>
      </c>
      <c r="D13" s="1001">
        <f>IF(ISNUMBER(
   IF(J_V="SI",(Datos!K13-Datos!U13)/Datos!U13,(Datos!K13+Datos!AA13-(Datos!U13+Datos!AI13))/(Datos!U13+Datos!AI13))
     ),IF(J_V="SI",(Datos!K13-Datos!U13)/Datos!U13,(Datos!K13+Datos!AA13-(Datos!U13+Datos!AI13))/(Datos!U13+Datos!AI13))," - ")</f>
        <v>7.9321412196240254E-2</v>
      </c>
      <c r="E13" s="1001">
        <f>IF(ISNUMBER(
   IF(J_V="SI",(Datos!L13-Datos!V13)/Datos!V13,(Datos!L13+Datos!AB13-(Datos!V13+Datos!AJ13))/(Datos!V13+Datos!AJ13))
     ),IF(J_V="SI",(Datos!L13-Datos!V13)/Datos!V13,(Datos!L13+Datos!AB13-(Datos!V13+Datos!AJ13))/(Datos!V13+Datos!AJ13))," - ")</f>
        <v>0.29806217761048376</v>
      </c>
      <c r="F13" s="1002">
        <f>IF(ISNUMBER((Datos!M13-Datos!W13)/Datos!W13),(Datos!M13-Datos!W13)/Datos!W13," - ")</f>
        <v>-0.27626459143968873</v>
      </c>
      <c r="G13" s="1003">
        <f>IF(ISNUMBER((Datos!N13-Datos!X13)/Datos!X13),(Datos!N13-Datos!X13)/Datos!X13," - ")</f>
        <v>0.17541436464088397</v>
      </c>
      <c r="H13" s="1003">
        <f>IF(ISNUMBER(((NºAsuntos!G13/NºAsuntos!E13)-Datos!BD13)/Datos!BD13),((NºAsuntos!G13/NºAsuntos!E13)-Datos!BD13)/Datos!BD13," - ")</f>
        <v>-0.44157164538377164</v>
      </c>
      <c r="I13" s="1003">
        <f>IF(ISNUMBER(((NºAsuntos!I13/NºAsuntos!G13)-Datos!BE13)/Datos!BE13),((NºAsuntos!I13/NºAsuntos!G13)-Datos!BE13)/Datos!BE13," - ")</f>
        <v>0.20266508469348554</v>
      </c>
      <c r="J13" s="1003">
        <f>IF(ISNUMBER((('Resol  Asuntos'!D13/NºAsuntos!G13)-Datos!BF13)/Datos!BF13),(('Resol  Asuntos'!D13/NºAsuntos!G13)-Datos!BF13)/Datos!BF13," - ")</f>
        <v>-0.52526032706769565</v>
      </c>
      <c r="K13" s="1003">
        <f>IF(ISNUMBER((((NºAsuntos!C13+NºAsuntos!E13)/NºAsuntos!G13)-Datos!BG13)/Datos!BG13),(((NºAsuntos!C13+NºAsuntos!E13)/NºAsuntos!G13)-Datos!BG13)/Datos!BG13," - ")</f>
        <v>0.13822234409714107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0.18308631211857018</v>
      </c>
      <c r="C16" s="472">
        <f>IF(ISNUMBER(
   IF(D_I="SI",(Datos!J16-Datos!T16)/Datos!T16,(Datos!J16+Datos!AD16-(Datos!T16+Datos!AL16))/(Datos!T16+Datos!AL16))
     ),IF(D_I="SI",(Datos!J16-Datos!T16)/Datos!T16,(Datos!J16+Datos!AD16-(Datos!T16+Datos!AL16))/(Datos!T16+Datos!AL16))," - ")</f>
        <v>8.9728453364816996E-2</v>
      </c>
      <c r="D16" s="472">
        <f>IF(ISNUMBER(
   IF(D_I="SI",(Datos!K16-Datos!U16)/Datos!U16,(Datos!K16+Datos!AE16-(Datos!U16+Datos!AM16))/(Datos!U16+Datos!AM16))
     ),IF(D_I="SI",(Datos!K16-Datos!U16)/Datos!U16,(Datos!K16+Datos!AE16-(Datos!U16+Datos!AM16))/(Datos!U16+Datos!AM16))," - ")</f>
        <v>-4.0532715691951361E-3</v>
      </c>
      <c r="E16" s="472">
        <f>IF(ISNUMBER(
   IF(D_I="SI",(Datos!L16-Datos!V16)/Datos!V16,(Datos!L16+Datos!AF16-(Datos!V16+Datos!AN16))/(Datos!V16+Datos!AN16))
     ),IF(D_I="SI",(Datos!L16-Datos!V16)/Datos!V16,(Datos!L16+Datos!AF16-(Datos!V16+Datos!AN16))/(Datos!V16+Datos!AN16))," - ")</f>
        <v>0.25264550264550267</v>
      </c>
      <c r="F16" s="472">
        <f>IF(ISNUMBER((Datos!M16-Datos!W16)/Datos!W16),(Datos!M16-Datos!W16)/Datos!W16," - ")</f>
        <v>-0.24850299401197604</v>
      </c>
      <c r="G16" s="473">
        <f>IF(ISNUMBER((Datos!N16-Datos!X16)/Datos!X16),(Datos!N16-Datos!X16)/Datos!X16," - ")</f>
        <v>7.7333333333333337E-2</v>
      </c>
      <c r="H16" s="471">
        <f>IF(ISNUMBER(((NºAsuntos!G16/NºAsuntos!E16)-Datos!BD16)/Datos!BD16),((NºAsuntos!G16/NºAsuntos!E16)-Datos!BD16)/Datos!BD16," - ")</f>
        <v>-8.6059719413985089E-2</v>
      </c>
      <c r="I16" s="472">
        <f>IF(ISNUMBER(((NºAsuntos!I16/NºAsuntos!G16)-Datos!BE16)/Datos!BE16),((NºAsuntos!I16/NºAsuntos!G16)-Datos!BE16)/Datos!BE16," - ")</f>
        <v>0.25774347852836238</v>
      </c>
      <c r="J16" s="477">
        <f>IF(ISNUMBER((('Resol  Asuntos'!D16/NºAsuntos!G16)-Datos!BF16)/Datos!BF16),(('Resol  Asuntos'!D16/NºAsuntos!G16)-Datos!BF16)/Datos!BF16," - ")</f>
        <v>-0.24544457596435035</v>
      </c>
      <c r="K16" s="478">
        <f>IF(ISNUMBER((((NºAsuntos!C16+NºAsuntos!E16)/NºAsuntos!G16)-Datos!BG16)/Datos!BG16),(((NºAsuntos!C16+NºAsuntos!E16)/NºAsuntos!G16)-Datos!BG16)/Datos!BG16," - ")</f>
        <v>0.14808378624244831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0.84466019417475724</v>
      </c>
      <c r="C17" s="472">
        <f>IF(ISNUMBER(
   IF(D_I="SI",(Datos!J17-Datos!T17)/Datos!T17,(Datos!J17+Datos!AD17-(Datos!T17+Datos!AL17))/(Datos!T17+Datos!AL17))
     ),IF(D_I="SI",(Datos!J17-Datos!T17)/Datos!T17,(Datos!J17+Datos!AD17-(Datos!T17+Datos!AL17))/(Datos!T17+Datos!AL17))," - ")</f>
        <v>-2.6845637583892617E-2</v>
      </c>
      <c r="D17" s="472">
        <f>IF(ISNUMBER(
   IF(D_I="SI",(Datos!K17-Datos!U17)/Datos!U17,(Datos!K17+Datos!AE17-(Datos!U17+Datos!AM17))/(Datos!U17+Datos!AM17))
     ),IF(D_I="SI",(Datos!K17-Datos!U17)/Datos!U17,(Datos!K17+Datos!AE17-(Datos!U17+Datos!AM17))/(Datos!U17+Datos!AM17))," - ")</f>
        <v>3.8461538461538464E-2</v>
      </c>
      <c r="E17" s="472">
        <f>IF(ISNUMBER(
   IF(D_I="SI",(Datos!L17-Datos!V17)/Datos!V17,(Datos!L17+Datos!AF17-(Datos!V17+Datos!AN17))/(Datos!V17+Datos!AN17))
     ),IF(D_I="SI",(Datos!L17-Datos!V17)/Datos!V17,(Datos!L17+Datos!AF17-(Datos!V17+Datos!AN17))/(Datos!V17+Datos!AN17))," - ")</f>
        <v>0.63934426229508201</v>
      </c>
      <c r="F17" s="472">
        <f>IF(ISNUMBER((Datos!M17-Datos!W17)/Datos!W17),(Datos!M17-Datos!W17)/Datos!W17," - ")</f>
        <v>0.38461538461538464</v>
      </c>
      <c r="G17" s="473">
        <f>IF(ISNUMBER((Datos!N17-Datos!X17)/Datos!X17),(Datos!N17-Datos!X17)/Datos!X17," - ")</f>
        <v>-0.16091954022988506</v>
      </c>
      <c r="H17" s="471">
        <f>IF(ISNUMBER(((NºAsuntos!G17/NºAsuntos!E17)-Datos!BD17)/Datos!BD17),((NºAsuntos!G17/NºAsuntos!E17)-Datos!BD17)/Datos!BD17," - ")</f>
        <v>6.7108753315649888E-2</v>
      </c>
      <c r="I17" s="472">
        <f>IF(ISNUMBER(((NºAsuntos!I17/NºAsuntos!G17)-Datos!BE17)/Datos!BE17),((NºAsuntos!I17/NºAsuntos!G17)-Datos!BE17)/Datos!BE17," - ")</f>
        <v>0.57862780813600478</v>
      </c>
      <c r="J17" s="477">
        <f>IF(ISNUMBER((('Resol  Asuntos'!D17/NºAsuntos!G17)-Datos!BF17)/Datos!BF17),(('Resol  Asuntos'!D17/NºAsuntos!G17)-Datos!BF17)/Datos!BF17," - ")</f>
        <v>0.33333333333333326</v>
      </c>
      <c r="K17" s="478">
        <f>IF(ISNUMBER((((NºAsuntos!C17+NºAsuntos!E17)/NºAsuntos!G17)-Datos!BG17)/Datos!BG17),(((NºAsuntos!C17+NºAsuntos!E17)/NºAsuntos!G17)-Datos!BG17)/Datos!BG17," - ")</f>
        <v>0.28012933568489118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0.21151439299123906</v>
      </c>
      <c r="C18" s="1001">
        <f>IF(ISNUMBER(
   IF(Criterios!B14="SI",(Datos!J18-Datos!T18)/Datos!T18,(Datos!J18+Datos!AD18-(Datos!T18+Datos!AL18))/(Datos!T18+Datos!AL18))
     ),IF(Criterios!B14="SI",(Datos!J18-Datos!T18)/Datos!T18,(Datos!J18+Datos!AD18-(Datos!T18+Datos!AL18))/(Datos!T18+Datos!AL18))," - ")</f>
        <v>8.0303852414541507E-2</v>
      </c>
      <c r="D18" s="1001">
        <f>IF(ISNUMBER(
   IF(Criterios!B14="SI",(Datos!K18-Datos!U18)/Datos!U18,(Datos!K18+Datos!AE18-(Datos!U18+Datos!AM18))/(Datos!U18+Datos!AM18))
     ),IF(Criterios!B14="SI",(Datos!K18-Datos!U18)/Datos!U18,(Datos!K18+Datos!AE18-(Datos!U18+Datos!AM18))/(Datos!U18+Datos!AM18))," - ")</f>
        <v>-1.0770059235325794E-3</v>
      </c>
      <c r="E18" s="1001">
        <f>IF(ISNUMBER(
   IF(Criterios!B14="SI",(Datos!L18-Datos!V18)/Datos!V18,(Datos!L18+Datos!AF18-(Datos!V18+Datos!AN18))/(Datos!V18+Datos!AN18))
     ),IF(Criterios!B14="SI",(Datos!L18-Datos!V18)/Datos!V18,(Datos!L18+Datos!AF18-(Datos!V18+Datos!AN18))/(Datos!V18+Datos!AN18))," - ")</f>
        <v>0.27238493723849372</v>
      </c>
      <c r="F18" s="1002">
        <f>IF(ISNUMBER((Datos!M18-Datos!W18)/Datos!W18),(Datos!M18-Datos!W18)/Datos!W18," - ")</f>
        <v>-0.22478386167146974</v>
      </c>
      <c r="G18" s="1003">
        <f>IF(ISNUMBER((Datos!N18-Datos!X18)/Datos!X18),(Datos!N18-Datos!X18)/Datos!X18," - ")</f>
        <v>5.2568697729988054E-2</v>
      </c>
      <c r="H18" s="1003">
        <f>IF(ISNUMBER(((NºAsuntos!G18/NºAsuntos!E18)-Datos!BD18)/Datos!BD18),((NºAsuntos!G18/NºAsuntos!E18)-Datos!BD18)/Datos!BD18," - ")</f>
        <v>-7.5331452494761628E-2</v>
      </c>
      <c r="I18" s="1003">
        <f>IF(ISNUMBER(((NºAsuntos!I18/NºAsuntos!G18)-Datos!BE18)/Datos!BE18),((NºAsuntos!I18/NºAsuntos!G18)-Datos!BE18)/Datos!BE18," - ")</f>
        <v>0.27375678083659455</v>
      </c>
      <c r="J18" s="1003">
        <f>IF(ISNUMBER((('Resol  Asuntos'!D18/NºAsuntos!G18)-Datos!BF18)/Datos!BF18),(('Resol  Asuntos'!D18/NºAsuntos!G18)-Datos!BF18)/Datos!BF18," - ")</f>
        <v>-0.22394804912340666</v>
      </c>
      <c r="K18" s="1003">
        <f>IF(ISNUMBER((((NºAsuntos!C18+NºAsuntos!E18)/NºAsuntos!G18)-Datos!BG18)/Datos!BG18),(((NºAsuntos!C18+NºAsuntos!E18)/NºAsuntos!G18)-Datos!BG18)/Datos!BG18," - ")</f>
        <v>0.15572585566800598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5.3505729002417741E-2</v>
      </c>
      <c r="C19" s="948">
        <f>IF(ISNUMBER(
   IF(J_V="SI",(Datos!J19-Datos!T19)/Datos!T19,(Datos!J19+Datos!Z19-(Datos!T19+Datos!AH19))/(Datos!T19+Datos!AH19))
     ),IF(J_V="SI",(Datos!J19-Datos!T19)/Datos!T19,(Datos!J19+Datos!Z19-(Datos!T19+Datos!AH19))/(Datos!T19+Datos!AH19))," - ")</f>
        <v>0.55410942395758012</v>
      </c>
      <c r="D19" s="948">
        <f>IF(ISNUMBER(
   IF(J_V="SI",(Datos!K19-Datos!U19)/Datos!U19,(Datos!K19+Datos!AA19-(Datos!U19+Datos!AI19))/(Datos!U19+Datos!AI19))
     ),IF(J_V="SI",(Datos!K19-Datos!U19)/Datos!U19,(Datos!K19+Datos!AA19-(Datos!U19+Datos!AI19))/(Datos!U19+Datos!AI19))," - ")</f>
        <v>4.234769687964339E-2</v>
      </c>
      <c r="E19" s="948">
        <f>IF(ISNUMBER(
   IF(J_V="SI",(Datos!L19-Datos!V19)/Datos!V19,(Datos!L19+Datos!AB19-(Datos!V19+Datos!AJ19))/(Datos!V19+Datos!AJ19))
     ),IF(J_V="SI",(Datos!L19-Datos!V19)/Datos!V19,(Datos!L19+Datos!AB19-(Datos!V19+Datos!AJ19))/(Datos!V19+Datos!AJ19))," - ")</f>
        <v>0.29164488131339539</v>
      </c>
      <c r="F19" s="949">
        <f>IF(ISNUMBER((Datos!M19-Datos!W19)/Datos!W19),(Datos!M19-Datos!W19)/Datos!W19," - ")</f>
        <v>-0.25551684088269455</v>
      </c>
      <c r="G19" s="950">
        <f>IF(ISNUMBER((Datos!N19-Datos!X19)/Datos!X19),(Datos!N19-Datos!X19)/Datos!X19," - ")</f>
        <v>0.10954516335682254</v>
      </c>
      <c r="H19" s="951">
        <f>IF(ISNUMBER((Tasas!B19-Datos!BD19)/Datos!BD19),(Tasas!B19-Datos!BD19)/Datos!BD19," - ")</f>
        <v>-0.32929581353076293</v>
      </c>
      <c r="I19" s="952">
        <f>IF(ISNUMBER((Tasas!C19-Datos!BE19)/Datos!BE19),(Tasas!C19-Datos!BE19)/Datos!BE19," - ")</f>
        <v>0.23916893103908057</v>
      </c>
      <c r="J19" s="953">
        <f>IF(ISNUMBER((Tasas!D19-Datos!BF19)/Datos!BF19),(Tasas!D19-Datos!BF19)/Datos!BF19," - ")</f>
        <v>-0.42687982548380221</v>
      </c>
      <c r="K19" s="953">
        <f>IF(ISNUMBER((Tasas!E19-Datos!BG19)/Datos!BG19),(Tasas!E19-Datos!BG19)/Datos!BG19," - ")</f>
        <v>0.15655610929713012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yEpDg9wHRU/VWjYloYSq7FwTNnfraLY1odpanIyoXCGV2a6J2wCUFsEd6i5KiLAe1uSjJVIdxGGTHpJJjMzIw==" saltValue="zXxeriIXC1Ll5H+dh2wq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CERDANYOLA DEL VALLES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0.6785714285714286</v>
      </c>
      <c r="C10" s="459">
        <f>IF(ISNUMBER(NºAsuntos!I10/NºAsuntos!G10),NºAsuntos!I10/NºAsuntos!G10," - ")</f>
        <v>5.5263157894736841</v>
      </c>
      <c r="D10" s="460">
        <f>IF(ISNUMBER('Resol  Asuntos'!D10/NºAsuntos!G10),'Resol  Asuntos'!D10/NºAsuntos!G10," - ")</f>
        <v>0.42105263157894735</v>
      </c>
      <c r="E10" s="461">
        <f>IF(ISNUMBER((NºAsuntos!C10+NºAsuntos!E10)/NºAsuntos!G10),(NºAsuntos!C10+NºAsuntos!E10)/NºAsuntos!G10," - ")</f>
        <v>6.5263157894736841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0.52720704447956646</v>
      </c>
      <c r="C12" s="459">
        <f>IF(ISNUMBER(NºAsuntos!I12/NºAsuntos!G12),NºAsuntos!I12/NºAsuntos!G12," - ")</f>
        <v>3.9426124197002141</v>
      </c>
      <c r="D12" s="460">
        <f>IF(ISNUMBER('Resol  Asuntos'!D12/NºAsuntos!G12),'Resol  Asuntos'!D12/NºAsuntos!G12," - ")</f>
        <v>0.15588865096359744</v>
      </c>
      <c r="E12" s="461">
        <f>IF(ISNUMBER((NºAsuntos!C12+NºAsuntos!E12)/NºAsuntos!G12),(NºAsuntos!C12+NºAsuntos!E12)/NºAsuntos!G12," - ")</f>
        <v>4.9040685224839402</v>
      </c>
      <c r="G12" s="479"/>
    </row>
    <row r="13" spans="1:7" ht="14.25" thickTop="1" thickBot="1">
      <c r="A13" s="994" t="str">
        <f>Datos!A13</f>
        <v>TOTAL</v>
      </c>
      <c r="B13" s="1004">
        <f>IF(ISNUMBER(NºAsuntos!G13/NºAsuntos!E13),NºAsuntos!G13/NºAsuntos!E13," - ")</f>
        <v>0.52815795378056984</v>
      </c>
      <c r="C13" s="1005">
        <f>IF(ISNUMBER(NºAsuntos!I13/NºAsuntos!G13),NºAsuntos!I13/NºAsuntos!G13," - ")</f>
        <v>3.955395072217502</v>
      </c>
      <c r="D13" s="1006">
        <f>IF(ISNUMBER('Resol  Asuntos'!D13/NºAsuntos!G13),'Resol  Asuntos'!D13/NºAsuntos!G13," - ")</f>
        <v>0.1580288870008496</v>
      </c>
      <c r="E13" s="1007">
        <f>IF(ISNUMBER((NºAsuntos!C13+NºAsuntos!E13)/NºAsuntos!G13),(NºAsuntos!C13+NºAsuntos!E13)/NºAsuntos!G13," - ")</f>
        <v>4.9171622769753611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0.93174431202600216</v>
      </c>
      <c r="C16" s="459">
        <f>IF(ISNUMBER(NºAsuntos!I16/NºAsuntos!G16),NºAsuntos!I16/NºAsuntos!G16," - ")</f>
        <v>1.6517441860465116</v>
      </c>
      <c r="D16" s="460">
        <f>IF(ISNUMBER('Resol  Asuntos'!D16/NºAsuntos!G16),'Resol  Asuntos'!D16/NºAsuntos!G16," - ")</f>
        <v>0.14593023255813953</v>
      </c>
      <c r="E16" s="461">
        <f>IF(ISNUMBER((NºAsuntos!C16+NºAsuntos!E16)/NºAsuntos!G16),(NºAsuntos!C16+NºAsuntos!E16)/NºAsuntos!G16," - ")</f>
        <v>2.6511627906976742</v>
      </c>
      <c r="G16" s="479"/>
    </row>
    <row r="17" spans="1:7" ht="13.5" thickBot="1">
      <c r="A17" s="413" t="str">
        <f>Datos!A17</f>
        <v>Jdos. Violencia contra la mujer</v>
      </c>
      <c r="B17" s="458">
        <f>IF(ISNUMBER(NºAsuntos!G17/NºAsuntos!E17),NºAsuntos!G17/NºAsuntos!E17," - ")</f>
        <v>0.93103448275862066</v>
      </c>
      <c r="C17" s="459">
        <f>IF(ISNUMBER(NºAsuntos!I17/NºAsuntos!G17),NºAsuntos!I17/NºAsuntos!G17," - ")</f>
        <v>1.4814814814814814</v>
      </c>
      <c r="D17" s="460">
        <f>IF(ISNUMBER('Resol  Asuntos'!D17/NºAsuntos!G17),'Resol  Asuntos'!D17/NºAsuntos!G17," - ")</f>
        <v>0.13333333333333333</v>
      </c>
      <c r="E17" s="461">
        <f>IF(ISNUMBER((NºAsuntos!C17+NºAsuntos!E17)/NºAsuntos!G17),(NºAsuntos!C17+NºAsuntos!E17)/NºAsuntos!G17," - ")</f>
        <v>2.4814814814814814</v>
      </c>
      <c r="G17" s="479"/>
    </row>
    <row r="18" spans="1:7" ht="14.25" thickTop="1" thickBot="1">
      <c r="A18" s="994" t="str">
        <f>Datos!A18</f>
        <v>TOTAL</v>
      </c>
      <c r="B18" s="1004">
        <f>IF(ISNUMBER(NºAsuntos!G18/NºAsuntos!E18),NºAsuntos!G18/NºAsuntos!E18," - ")</f>
        <v>0.93169261677548976</v>
      </c>
      <c r="C18" s="1005">
        <f>IF(ISNUMBER(NºAsuntos!I18/NºAsuntos!G18),NºAsuntos!I18/NºAsuntos!G18," - ")</f>
        <v>1.6393530997304582</v>
      </c>
      <c r="D18" s="1008">
        <f>IF(ISNUMBER('Resol  Asuntos'!D18/NºAsuntos!G18),'Resol  Asuntos'!D18/NºAsuntos!G18," - ")</f>
        <v>0.14501347708894879</v>
      </c>
      <c r="E18" s="1007">
        <f>IF(ISNUMBER((NºAsuntos!C18+NºAsuntos!E18)/NºAsuntos!G18),(NºAsuntos!C18+NºAsuntos!E18)/NºAsuntos!G18," - ")</f>
        <v>2.6388140161725069</v>
      </c>
      <c r="G18" s="479"/>
    </row>
    <row r="19" spans="1:7" ht="15.75" customHeight="1" thickTop="1" thickBot="1">
      <c r="A19" s="939" t="str">
        <f>Datos!A19</f>
        <v>TOTAL JURISDICCIONES</v>
      </c>
      <c r="B19" s="954">
        <f>IF(ISNUMBER(NºAsuntos!G19/NºAsuntos!E19),NºAsuntos!G19/NºAsuntos!E19," - ")</f>
        <v>0.6527605459057072</v>
      </c>
      <c r="C19" s="955">
        <f>IF(ISNUMBER(NºAsuntos!I19/NºAsuntos!G19),NºAsuntos!I19/NºAsuntos!G19," - ")</f>
        <v>2.9346638156331668</v>
      </c>
      <c r="D19" s="956">
        <f>IF(ISNUMBER('Resol  Asuntos'!D19/NºAsuntos!G19),'Resol  Asuntos'!D19/NºAsuntos!G19," - ")</f>
        <v>0.1522927061059634</v>
      </c>
      <c r="E19" s="957">
        <f>IF(ISNUMBER((NºAsuntos!C19+NºAsuntos!E19)/NºAsuntos!G19),(NºAsuntos!C19+NºAsuntos!E19)/NºAsuntos!G19," - ")</f>
        <v>3.9130434782608696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FpjKb2GzhRd3ZRiBPU5d1LQSdcR6b8tzINVOz2VQphXARfdtEWPS5GqMIpGfL5/XtwDCyMh8o0AB1uPMkQ7Q==" saltValue="SNTcmAOWTJQC4yd/sLzj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CERDANYOLA DEL VALLES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96</v>
      </c>
      <c r="G10" s="342">
        <f>IF(ISNUMBER(Datos!I10),Datos!I10," - ")</f>
        <v>96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1</v>
      </c>
      <c r="Y10" s="343">
        <f t="shared" ref="Y10:Y12" si="0">SUM(W10:X10)</f>
        <v>20</v>
      </c>
      <c r="Z10" s="344" t="str">
        <f>IF(ISNUMBER(Datos!CC10),Datos!CC10," - ")</f>
        <v xml:space="preserve"> - </v>
      </c>
      <c r="AA10" s="341">
        <f>IF(ISNUMBER(Datos!L10),Datos!L10,"-")</f>
        <v>105</v>
      </c>
      <c r="AB10" s="343">
        <f>IF(ISNUMBER(Datos!R10),Datos!R10," - ")</f>
        <v>52</v>
      </c>
      <c r="AC10" s="343">
        <f t="shared" ref="AC10:AC12" si="1">IF(ISNUMBER(AA10+AB10),AA10+AB10," - ")</f>
        <v>157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0.6785714285714286</v>
      </c>
      <c r="AM10" s="264">
        <f>IF(ISNUMBER(((NºAsuntos!I10/NºAsuntos!G10)*11)/factor_trimestre),((NºAsuntos!I10/NºAsuntos!G10)*11)/factor_trimestre," - ")</f>
        <v>16.578947368421055</v>
      </c>
      <c r="AN10" s="248">
        <f>IF(ISNUMBER('Resol  Asuntos'!D10/NºAsuntos!G10),'Resol  Asuntos'!D10/NºAsuntos!G10," - ")</f>
        <v>0.42105263157894735</v>
      </c>
      <c r="AO10" s="249">
        <f>IF(ISNUMBER((NºAsuntos!C10+NºAsuntos!E10)/NºAsuntos!G10),(NºAsuntos!C10+NºAsuntos!E10)/NºAsuntos!G10," - ")</f>
        <v>6.5263157894736841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488</v>
      </c>
      <c r="Y12" s="343">
        <f t="shared" si="0"/>
        <v>488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8140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364</v>
      </c>
      <c r="AJ12" s="233" t="str">
        <f>IF(ISNUMBER(Datos!BW12),Datos!BW12," - ")</f>
        <v xml:space="preserve"> - </v>
      </c>
      <c r="AK12" s="232" t="str">
        <f>IF(ISNUMBER(Datos!BX12),Datos!BX12," - ")</f>
        <v xml:space="preserve"> - </v>
      </c>
      <c r="AL12" s="247">
        <f>IF(ISNUMBER(NºAsuntos!G12/NºAsuntos!E12),NºAsuntos!G12/NºAsuntos!E12," - ")</f>
        <v>0.52720704447956646</v>
      </c>
      <c r="AM12" s="264">
        <f>IF(ISNUMBER(((NºAsuntos!I12/NºAsuntos!G12)*11)/factor_trimestre),((NºAsuntos!I12/NºAsuntos!G12)*11)/factor_trimestre," - ")</f>
        <v>11.827837259100644</v>
      </c>
      <c r="AN12" s="248">
        <f>IF(ISNUMBER('Resol  Asuntos'!D12/NºAsuntos!G12),'Resol  Asuntos'!D12/NºAsuntos!G12," - ")</f>
        <v>0.15588865096359744</v>
      </c>
      <c r="AO12" s="249">
        <f>IF(ISNUMBER((NºAsuntos!C12+NºAsuntos!E12)/NºAsuntos!G12),(NºAsuntos!C12+NºAsuntos!E12)/NºAsuntos!G12," - ")</f>
        <v>4.9040685224839402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96</v>
      </c>
      <c r="G13" s="1012">
        <f t="shared" si="3"/>
        <v>96</v>
      </c>
      <c r="H13" s="1011">
        <f t="shared" si="3"/>
        <v>0</v>
      </c>
      <c r="I13" s="1013">
        <f t="shared" si="3"/>
        <v>0</v>
      </c>
      <c r="J13" s="1013">
        <f t="shared" si="3"/>
        <v>0</v>
      </c>
      <c r="K13" s="1013">
        <f t="shared" si="3"/>
        <v>0</v>
      </c>
      <c r="L13" s="1013">
        <f t="shared" si="3"/>
        <v>658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489</v>
      </c>
      <c r="Y13" s="1014">
        <f t="shared" si="4"/>
        <v>508</v>
      </c>
      <c r="Z13" s="1014">
        <f t="shared" si="4"/>
        <v>0</v>
      </c>
      <c r="AA13" s="1014">
        <f t="shared" si="4"/>
        <v>105</v>
      </c>
      <c r="AB13" s="1014">
        <f t="shared" si="4"/>
        <v>8192</v>
      </c>
      <c r="AC13" s="1014">
        <f t="shared" si="4"/>
        <v>157</v>
      </c>
      <c r="AD13" s="1014">
        <f t="shared" si="4"/>
        <v>0</v>
      </c>
      <c r="AE13" s="1018">
        <f t="shared" si="4"/>
        <v>0</v>
      </c>
      <c r="AF13" s="1011">
        <f t="shared" si="4"/>
        <v>0</v>
      </c>
      <c r="AG13" s="1019">
        <f t="shared" si="4"/>
        <v>0</v>
      </c>
      <c r="AH13" s="1016">
        <f t="shared" si="4"/>
        <v>0</v>
      </c>
      <c r="AI13" s="1011">
        <f t="shared" si="4"/>
        <v>372</v>
      </c>
      <c r="AJ13" s="1013">
        <f t="shared" si="4"/>
        <v>0</v>
      </c>
      <c r="AK13" s="1016">
        <f>SUBTOTAL(9,AK9:AK12)</f>
        <v>0</v>
      </c>
      <c r="AL13" s="1020">
        <f>IF(ISNUMBER(NºAsuntos!G13/NºAsuntos!E13),NºAsuntos!G13/NºAsuntos!E13," - ")</f>
        <v>0.52815795378056984</v>
      </c>
      <c r="AM13" s="1020">
        <f>IF(ISNUMBER(((NºAsuntos!I13/NºAsuntos!G13)*11)/factor_trimestre),((NºAsuntos!I13/NºAsuntos!G13)*11)/factor_trimestre," - ")</f>
        <v>11.866185216652507</v>
      </c>
      <c r="AN13" s="1021">
        <f>IF(ISNUMBER('Resol  Asuntos'!D13/NºAsuntos!G13),'Resol  Asuntos'!D13/NºAsuntos!G13," - ")</f>
        <v>0.1580288870008496</v>
      </c>
      <c r="AO13" s="1022">
        <f>IF(ISNUMBER((NºAsuntos!C13+NºAsuntos!E13)/NºAsuntos!G13),(NºAsuntos!C13+NºAsuntos!E13)/NºAsuntos!G13," - ")</f>
        <v>4.9171622769753611</v>
      </c>
      <c r="AP13" s="1023" t="str">
        <f t="shared" si="2"/>
        <v xml:space="preserve"> - </v>
      </c>
      <c r="AQ13" s="1023">
        <f>IF(ISNUMBER((H13-W13+K13)/(F13)),(H13-W13+K13)/(F13)," - ")</f>
        <v>-0.19791666666666666</v>
      </c>
      <c r="AR13" s="1024">
        <f>IF(ISNUMBER((Datos!P13-Datos!Q13)/(Datos!R13-Datos!P13+Datos!Q13)),(Datos!P13-Datos!Q13)/(Datos!R13-Datos!P13+Datos!Q13)," - ")</f>
        <v>2.106443973575969E-2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2715</v>
      </c>
      <c r="G16" s="342">
        <f>IF(ISNUMBER(IF(D_I="SI",Datos!I16,Datos!I16+Datos!AC16)),IF(D_I="SI",Datos!I16,Datos!I16+Datos!AC16)," - ")</f>
        <v>2714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1720</v>
      </c>
      <c r="X16" s="230">
        <f>IF(ISNUMBER(Datos!Q16),Datos!Q16," - ")</f>
        <v>70</v>
      </c>
      <c r="Y16" s="343">
        <f t="shared" ref="Y16:Y17" si="7">SUM(W16:X16)</f>
        <v>1790</v>
      </c>
      <c r="Z16" s="344" t="str">
        <f>IF(ISNUMBER(Datos!CC16),Datos!CC16," - ")</f>
        <v xml:space="preserve"> - </v>
      </c>
      <c r="AA16" s="341">
        <f>IF(ISNUMBER(IF(D_I="SI",Datos!L16,Datos!L16+Datos!AF16)),IF(D_I="SI",Datos!L16,Datos!L16+Datos!AF16)," - ")</f>
        <v>2841</v>
      </c>
      <c r="AB16" s="343">
        <f>IF(ISNUMBER(Datos!R16),Datos!R16," - ")</f>
        <v>303</v>
      </c>
      <c r="AC16" s="343">
        <f t="shared" si="6"/>
        <v>3144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251</v>
      </c>
      <c r="AJ16" s="235" t="str">
        <f>IF(ISNUMBER(Datos!BW16),Datos!BW16," - ")</f>
        <v xml:space="preserve"> - </v>
      </c>
      <c r="AK16" s="236" t="str">
        <f>IF(ISNUMBER(Datos!BX16),Datos!BX16," - ")</f>
        <v xml:space="preserve"> - </v>
      </c>
      <c r="AL16" s="247">
        <f>IF(ISNUMBER(NºAsuntos!G16/NºAsuntos!E16),NºAsuntos!G16/NºAsuntos!E16," - ")</f>
        <v>0.93174431202600216</v>
      </c>
      <c r="AM16" s="264">
        <f>IF(ISNUMBER(((NºAsuntos!I16/NºAsuntos!G16)*11)/factor_trimestre),((NºAsuntos!I16/NºAsuntos!G16)*11)/factor_trimestre," - ")</f>
        <v>4.9552325581395342</v>
      </c>
      <c r="AN16" s="248">
        <f>IF(ISNUMBER('Resol  Asuntos'!D16/NºAsuntos!G16),'Resol  Asuntos'!D16/NºAsuntos!G16," - ")</f>
        <v>0.14593023255813953</v>
      </c>
      <c r="AO16" s="249">
        <f>IF(ISNUMBER((NºAsuntos!C16+NºAsuntos!E16)/NºAsuntos!G16),(NºAsuntos!C16+NºAsuntos!E16)/NºAsuntos!G16," - ")</f>
        <v>2.6511627906976742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135</v>
      </c>
      <c r="X17" s="230">
        <f>IF(ISNUMBER(Datos!Q17),Datos!Q17," - ")</f>
        <v>0</v>
      </c>
      <c r="Y17" s="343">
        <f t="shared" si="7"/>
        <v>135</v>
      </c>
      <c r="Z17" s="344" t="str">
        <f>IF(ISNUMBER(Datos!CC17),Datos!CC17," - ")</f>
        <v xml:space="preserve"> - </v>
      </c>
      <c r="AA17" s="341">
        <f>IF(ISNUMBER(Datos!L17),Datos!L17,"-")</f>
        <v>200</v>
      </c>
      <c r="AB17" s="343">
        <f>IF(ISNUMBER(Datos!R17),Datos!R17," - ")</f>
        <v>0</v>
      </c>
      <c r="AC17" s="343">
        <f t="shared" si="6"/>
        <v>200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0.93103448275862066</v>
      </c>
      <c r="AM17" s="264">
        <f>IF(ISNUMBER(((NºAsuntos!I17/NºAsuntos!G17)*11)/factor_trimestre),((NºAsuntos!I17/NºAsuntos!G17)*11)/factor_trimestre," - ")</f>
        <v>4.4444444444444438</v>
      </c>
      <c r="AN17" s="248">
        <f>IF(ISNUMBER('Resol  Asuntos'!D17/NºAsuntos!G17),'Resol  Asuntos'!D17/NºAsuntos!G17," - ")</f>
        <v>0.13333333333333333</v>
      </c>
      <c r="AO17" s="249">
        <f>IF(ISNUMBER((NºAsuntos!C17+NºAsuntos!E17)/NºAsuntos!G17),(NºAsuntos!C17+NºAsuntos!E17)/NºAsuntos!G17," - ")</f>
        <v>2.4814814814814814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2715</v>
      </c>
      <c r="G18" s="1012">
        <f>SUBTOTAL(9,G15:G17)</f>
        <v>2904</v>
      </c>
      <c r="H18" s="1011">
        <f t="shared" ref="H18:O18" si="10">SUBTOTAL(9,H14:H17)</f>
        <v>0</v>
      </c>
      <c r="I18" s="1013">
        <f t="shared" si="10"/>
        <v>0</v>
      </c>
      <c r="J18" s="1013">
        <f t="shared" si="10"/>
        <v>0</v>
      </c>
      <c r="K18" s="1013">
        <f t="shared" si="10"/>
        <v>0</v>
      </c>
      <c r="L18" s="1013">
        <f t="shared" si="10"/>
        <v>61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1855</v>
      </c>
      <c r="X18" s="1013">
        <f t="shared" si="11"/>
        <v>70</v>
      </c>
      <c r="Y18" s="1014">
        <f t="shared" si="11"/>
        <v>1925</v>
      </c>
      <c r="Z18" s="1014">
        <f t="shared" si="11"/>
        <v>0</v>
      </c>
      <c r="AA18" s="1014">
        <f t="shared" si="11"/>
        <v>3041</v>
      </c>
      <c r="AB18" s="1014">
        <f t="shared" si="11"/>
        <v>303</v>
      </c>
      <c r="AC18" s="1014">
        <f t="shared" si="11"/>
        <v>3344</v>
      </c>
      <c r="AD18" s="1014">
        <f t="shared" si="11"/>
        <v>0</v>
      </c>
      <c r="AE18" s="1018">
        <f t="shared" si="11"/>
        <v>0</v>
      </c>
      <c r="AF18" s="1011">
        <f t="shared" si="11"/>
        <v>0</v>
      </c>
      <c r="AG18" s="1019">
        <f t="shared" si="11"/>
        <v>0</v>
      </c>
      <c r="AH18" s="1016">
        <f t="shared" si="11"/>
        <v>0</v>
      </c>
      <c r="AI18" s="1011">
        <f t="shared" si="11"/>
        <v>269</v>
      </c>
      <c r="AJ18" s="1013">
        <f t="shared" si="11"/>
        <v>0</v>
      </c>
      <c r="AK18" s="1016">
        <f t="shared" si="11"/>
        <v>0</v>
      </c>
      <c r="AL18" s="1020">
        <f>IF(ISNUMBER(NºAsuntos!G18/NºAsuntos!E18),NºAsuntos!G18/NºAsuntos!E18," - ")</f>
        <v>0.93169261677548976</v>
      </c>
      <c r="AM18" s="1020">
        <f>IF(ISNUMBER(((NºAsuntos!I18/NºAsuntos!G18)*11)/factor_trimestre),((NºAsuntos!I18/NºAsuntos!G18)*11)/factor_trimestre," - ")</f>
        <v>4.9180592991913752</v>
      </c>
      <c r="AN18" s="1021">
        <f>IF(ISNUMBER('Resol  Asuntos'!D18/NºAsuntos!G18),'Resol  Asuntos'!D18/NºAsuntos!G18," - ")</f>
        <v>0.14501347708894879</v>
      </c>
      <c r="AO18" s="1022">
        <f>IF(ISNUMBER((NºAsuntos!C18+NºAsuntos!E18)/NºAsuntos!G18),(NºAsuntos!C18+NºAsuntos!E18)/NºAsuntos!G18," - ")</f>
        <v>2.6388140161725069</v>
      </c>
      <c r="AP18" s="1023" t="str">
        <f t="shared" si="2"/>
        <v xml:space="preserve"> - </v>
      </c>
      <c r="AQ18" s="1023">
        <f>IF(ISNUMBER((H18-W18+K18)/(F18)),(H18-W18+K18)/(F18)," - ")</f>
        <v>-0.68324125230202581</v>
      </c>
      <c r="AR18" s="1024">
        <f>IF(ISNUMBER((Datos!P18-Datos!Q18)/(Datos!R18-Datos!P18+Datos!Q18)),(Datos!P18-Datos!Q18)/(Datos!R18-Datos!P18+Datos!Q18)," - ")</f>
        <v>-2.8846153846153848E-2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2811</v>
      </c>
      <c r="G19" s="967">
        <f t="shared" si="13"/>
        <v>3000</v>
      </c>
      <c r="H19" s="966">
        <f t="shared" si="13"/>
        <v>0</v>
      </c>
      <c r="I19" s="968">
        <f t="shared" si="13"/>
        <v>0</v>
      </c>
      <c r="J19" s="968">
        <f t="shared" si="13"/>
        <v>0</v>
      </c>
      <c r="K19" s="1027">
        <f t="shared" si="13"/>
        <v>0</v>
      </c>
      <c r="L19" s="968">
        <f t="shared" si="13"/>
        <v>719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1874</v>
      </c>
      <c r="X19" s="967">
        <f t="shared" si="14"/>
        <v>559</v>
      </c>
      <c r="Y19" s="974">
        <f t="shared" si="14"/>
        <v>2433</v>
      </c>
      <c r="Z19" s="974">
        <f t="shared" si="14"/>
        <v>0</v>
      </c>
      <c r="AA19" s="974">
        <f t="shared" si="14"/>
        <v>3146</v>
      </c>
      <c r="AB19" s="974">
        <f t="shared" si="14"/>
        <v>8495</v>
      </c>
      <c r="AC19" s="974">
        <f t="shared" si="14"/>
        <v>3501</v>
      </c>
      <c r="AD19" s="974">
        <f t="shared" si="14"/>
        <v>0</v>
      </c>
      <c r="AE19" s="976">
        <f t="shared" si="14"/>
        <v>0</v>
      </c>
      <c r="AF19" s="977">
        <f t="shared" si="14"/>
        <v>0</v>
      </c>
      <c r="AG19" s="978">
        <f t="shared" si="14"/>
        <v>0</v>
      </c>
      <c r="AH19" s="976">
        <f t="shared" si="14"/>
        <v>0</v>
      </c>
      <c r="AI19" s="966">
        <f t="shared" si="14"/>
        <v>641</v>
      </c>
      <c r="AJ19" s="966">
        <f t="shared" si="14"/>
        <v>0</v>
      </c>
      <c r="AK19" s="976">
        <f t="shared" si="14"/>
        <v>0</v>
      </c>
      <c r="AL19" s="1030">
        <f>IF(ISNUMBER(NºAsuntos!G19/NºAsuntos!E19),NºAsuntos!G19/NºAsuntos!E19," - ")</f>
        <v>0.6527605459057072</v>
      </c>
      <c r="AM19" s="1031">
        <f>IF(ISNUMBER(((NºAsuntos!I19/NºAsuntos!G19)*11)/factor_trimestre),((NºAsuntos!I19/NºAsuntos!G19)*11)/factor_trimestre," - ")</f>
        <v>8.8039914468995004</v>
      </c>
      <c r="AN19" s="1031">
        <f>IF(ISNUMBER('Resol  Asuntos'!D19/NºAsuntos!G19),'Resol  Asuntos'!D19/NºAsuntos!G19," - ")</f>
        <v>0.1522927061059634</v>
      </c>
      <c r="AO19" s="1032">
        <f>IF(ISNUMBER((NºAsuntos!C19+NºAsuntos!E19)/NºAsuntos!G19),(NºAsuntos!C19+NºAsuntos!E19)/NºAsuntos!G19," - ")</f>
        <v>3.9130434782608696</v>
      </c>
      <c r="AP19" s="1033" t="str">
        <f t="shared" si="2"/>
        <v xml:space="preserve"> - </v>
      </c>
      <c r="AQ19" s="1034">
        <f>IF(OR(ISNUMBER(FIND("01",Criterios!A8,1)),ISNUMBER(FIND("02",Criterios!A8,1)),ISNUMBER(FIND("03",Criterios!A8,1)),ISNUMBER(FIND("04",Criterios!A8,1))),(I19-W19+K19)/(F19-K19),(H19-W19+K19)/(F19-K19))</f>
        <v>-0.66666666666666663</v>
      </c>
      <c r="AR19" s="1035">
        <f>IF(ISNUMBER((Datos!P19-Datos!Q19)/(Datos!R19-Datos!P19+Datos!Q19)),(Datos!P19-Datos!Q19)/(Datos!R19-Datos!P19+Datos!Q19)," - ")</f>
        <v>1.9196160767846429E-2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1200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1512.0803550076298</v>
      </c>
      <c r="G21" s="257">
        <f>IF(ISNUMBER(STDEV(G8:G18)),STDEV(G8:G18),"-")</f>
        <v>1470.8453351729406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949.85146207183368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162.91674765556382</v>
      </c>
      <c r="AJ21" s="256">
        <f t="shared" si="18"/>
        <v>0</v>
      </c>
      <c r="AK21" s="258">
        <f t="shared" si="18"/>
        <v>0</v>
      </c>
      <c r="AL21" s="253">
        <f t="shared" si="18"/>
        <v>0.20131309958795185</v>
      </c>
      <c r="AM21" s="254">
        <f t="shared" si="18"/>
        <v>5.047166310152134</v>
      </c>
      <c r="AN21" s="254">
        <f t="shared" si="18"/>
        <v>0.11196995577788312</v>
      </c>
      <c r="AO21" s="255">
        <f t="shared" si="18"/>
        <v>1.6743073334672627</v>
      </c>
      <c r="AP21" s="295" t="str">
        <f t="shared" si="18"/>
        <v>-</v>
      </c>
      <c r="AQ21" s="296">
        <f t="shared" si="18"/>
        <v>0.34317630557931367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Urp+i5nS5GWk9KSHYUNveU3Uf1EacPBJJhtuC0TPQM8sJvJxIQESPDxXZd8MocxVZCsXYjEA7fGxXsqKczr2A==" saltValue="LPdt80iKC+gf7KqkPiZD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CERDANYOLA DEL VALLES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0.52380952380952384</v>
      </c>
      <c r="E10" s="357">
        <f>IF(ISNUMBER((Datos!J10-Datos!T10)/Datos!T10),(Datos!J10-Datos!T10)/Datos!T10," - ")</f>
        <v>0.33333333333333331</v>
      </c>
      <c r="F10" s="357">
        <f>IF(ISNUMBER((Datos!K10-Datos!U10)/Datos!U10),(Datos!K10-Datos!U10)/Datos!U10," - ")</f>
        <v>1.375</v>
      </c>
      <c r="G10" s="358">
        <f>IF(ISNUMBER((Datos!L10-Datos!V10)/Datos!V10),(Datos!L10-Datos!V10)/Datos!V10," - ")</f>
        <v>0.38157894736842107</v>
      </c>
      <c r="H10" s="234">
        <f>IF(ISNUMBER((Datos!M10-Datos!W10)/Datos!W10),(Datos!M10-Datos!W10)/Datos!W10," - ")</f>
        <v>0.6</v>
      </c>
      <c r="I10" s="359">
        <f>IF(ISNUMBER((Tasas!C10-Datos!BE10)/Datos!BE10),(Tasas!C10-Datos!BE10)/Datos!BE10," - ")</f>
        <v>-0.4182825484764543</v>
      </c>
      <c r="J10" s="358">
        <f>IF(ISNUMBER((Tasas!D10-Datos!BF10)/Datos!BF10),(Tasas!D10-Datos!BF10)/Datos!BF10," - ")</f>
        <v>-0.32631578947368423</v>
      </c>
      <c r="K10" s="360">
        <f>IF(ISNUMBER((Tasas!E10-Datos!BG10)/Datos!BG10),(Tasas!E10-Datos!BG10)/Datos!BG10," - ")</f>
        <v>-0.37844611528822059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-0.28487229862475444</v>
      </c>
      <c r="I12" s="359">
        <f>IF(ISNUMBER((Tasas!C12-Datos!BE12)/Datos!BE12),(Tasas!C12-Datos!BE12)/Datos!BE12," - ")</f>
        <v>0.2071715919414634</v>
      </c>
      <c r="J12" s="358">
        <f>IF(ISNUMBER((Tasas!D12-Datos!BF12)/Datos!BF12),(Tasas!D12-Datos!BF12)/Datos!BF12," - ")</f>
        <v>-0.53017192989750728</v>
      </c>
      <c r="K12" s="360">
        <f>IF(ISNUMBER((Tasas!E12-Datos!BG12)/Datos!BG12),(Tasas!E12-Datos!BG12)/Datos!BG12," - ")</f>
        <v>0.14120163839768707</v>
      </c>
      <c r="M12" t="e">
        <f>IF(Monitorios="SI",Datos!CE12,0)</f>
        <v>#REF!</v>
      </c>
      <c r="N12" t="e">
        <f>IF(Monitorios="SI",Datos!CF12,0)</f>
        <v>#REF!</v>
      </c>
      <c r="O12" t="e">
        <f>IF(Monitorios="SI",Datos!CG12,0)</f>
        <v>#REF!</v>
      </c>
      <c r="P12" t="e">
        <f>IF(Monitorios="SI",Datos!CH12,0)</f>
        <v>#REF!</v>
      </c>
      <c r="Q12">
        <f>IF(J_V="SI",0,Datos!AG12)</f>
        <v>144</v>
      </c>
      <c r="R12">
        <f>IF(J_V="SI",0,Datos!AH12)</f>
        <v>95</v>
      </c>
      <c r="S12">
        <f>IF(J_V="SI",0,Datos!AI12)</f>
        <v>80</v>
      </c>
      <c r="T12">
        <f>IF(J_V="SI",0,Datos!AJ12)</f>
        <v>159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-0.27626459143968873</v>
      </c>
      <c r="I13" s="366">
        <f>IF(ISNUMBER((Tasas!C13-Datos!BE13)/Datos!BE13),(Tasas!C13-Datos!BE13)/Datos!BE13," - ")</f>
        <v>0.20266508469348554</v>
      </c>
      <c r="J13" s="364">
        <f>IF(ISNUMBER((Tasas!D13-Datos!BF13)/Datos!BF13),(Tasas!D13-Datos!BF13)/Datos!BF13," - ")</f>
        <v>-0.52526032706769565</v>
      </c>
      <c r="K13" s="367">
        <f>IF(ISNUMBER((Tasas!E13-Datos!BG13)/Datos!BG13),(Tasas!E13-Datos!BG13)/Datos!BG13," - ")</f>
        <v>0.13822234409714107</v>
      </c>
      <c r="M13" t="e">
        <f>IF(Monitorios="SI",Datos!CE13,0)</f>
        <v>#REF!</v>
      </c>
      <c r="N13" t="e">
        <f>IF(Monitorios="SI",Datos!CF13,0)</f>
        <v>#REF!</v>
      </c>
      <c r="O13" t="e">
        <f>IF(Monitorios="SI",Datos!CG13,0)</f>
        <v>#REF!</v>
      </c>
      <c r="P13" t="e">
        <f>IF(Monitorios="SI",Datos!CH13,0)</f>
        <v>#REF!</v>
      </c>
      <c r="Q13">
        <f>IF(J_V="SI",0,Datos!AG13)</f>
        <v>144</v>
      </c>
      <c r="R13">
        <f>IF(J_V="SI",0,Datos!AH13)</f>
        <v>95</v>
      </c>
      <c r="S13">
        <f>IF(J_V="SI",0,Datos!AI13)</f>
        <v>80</v>
      </c>
      <c r="T13">
        <f>IF(J_V="SI",0,Datos!AJ13)</f>
        <v>159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0.18308631211857018</v>
      </c>
      <c r="E16" s="357">
        <f>IF(ISNUMBER(
   IF(D_I="SI",(Datos!J16-Datos!T16)/Datos!T16,(Datos!J16+Datos!AD16-(Datos!T16+Datos!AL16))/(Datos!T16+Datos!AL16))
     ),IF(D_I="SI",(Datos!J16-Datos!T16)/Datos!T16,(Datos!J16+Datos!AD16-(Datos!T16+Datos!AL16))/(Datos!T16+Datos!AL16))," - ")</f>
        <v>8.9728453364816996E-2</v>
      </c>
      <c r="F16" s="357">
        <f>IF(ISNUMBER(
   IF(D_I="SI",(Datos!K16-Datos!U16)/Datos!U16,(Datos!K16+Datos!AE16-(Datos!U16+Datos!AM16))/(Datos!U16+Datos!AM16))
     ),IF(D_I="SI",(Datos!K16-Datos!U16)/Datos!U16,(Datos!K16+Datos!AE16-(Datos!U16+Datos!AM16))/(Datos!U16+Datos!AM16))," - ")</f>
        <v>-4.0532715691951361E-3</v>
      </c>
      <c r="G16" s="358">
        <f>IF(ISNUMBER(
   IF(D_I="SI",(Datos!L16-Datos!V16)/Datos!V16,(Datos!L16+Datos!AF16-(Datos!V16+Datos!AN16))/(Datos!V16+Datos!AN16))
     ),IF(D_I="SI",(Datos!L16-Datos!V16)/Datos!V16,(Datos!L16+Datos!AF16-(Datos!V16+Datos!AN16))/(Datos!V16+Datos!AN16))," - ")</f>
        <v>0.25264550264550267</v>
      </c>
      <c r="H16" s="234">
        <f>IF(ISNUMBER((Datos!M16-Datos!W16)/Datos!W16),(Datos!M16-Datos!W16)/Datos!W16," - ")</f>
        <v>-0.24850299401197604</v>
      </c>
      <c r="I16" s="359">
        <f>IF(ISNUMBER((Tasas!C16-Datos!BE16)/Datos!BE16),(Tasas!C16-Datos!BE16)/Datos!BE16," - ")</f>
        <v>0.25774347852836238</v>
      </c>
      <c r="J16" s="358">
        <f>IF(ISNUMBER((Tasas!D16-Datos!BF16)/Datos!BF16),(Tasas!D16-Datos!BF16)/Datos!BF16," - ")</f>
        <v>-0.24544457596435035</v>
      </c>
      <c r="K16" s="360">
        <f>IF(ISNUMBER((Tasas!E16-Datos!BG16)/Datos!BG16),(Tasas!E16-Datos!BG16)/Datos!BG16," - ")</f>
        <v>0.14808378624244831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0.84466019417475724</v>
      </c>
      <c r="E17" s="357">
        <f>IF(ISNUMBER(
   IF(D_I="SI",(Datos!J17-Datos!T17)/Datos!T17,(Datos!J17+Datos!AD17-(Datos!T17+Datos!AL17))/(Datos!T17+Datos!AL17))
     ),IF(D_I="SI",(Datos!J17-Datos!T17)/Datos!T17,(Datos!J17+Datos!AD17-(Datos!T17+Datos!AL17))/(Datos!T17+Datos!AL17))," - ")</f>
        <v>-2.6845637583892617E-2</v>
      </c>
      <c r="F17" s="357">
        <f>IF(ISNUMBER(
   IF(D_I="SI",(Datos!K17-Datos!U17)/Datos!U17,(Datos!K17+Datos!AE17-(Datos!U17+Datos!AM17))/(Datos!U17+Datos!AM17))
     ),IF(D_I="SI",(Datos!K17-Datos!U17)/Datos!U17,(Datos!K17+Datos!AE17-(Datos!U17+Datos!AM17))/(Datos!U17+Datos!AM17))," - ")</f>
        <v>3.8461538461538464E-2</v>
      </c>
      <c r="G17" s="358">
        <f>IF(ISNUMBER(
   IF(D_I="SI",(Datos!L17-Datos!V17)/Datos!V17,(Datos!L17+Datos!AF17-(Datos!V17+Datos!AN17))/(Datos!V17+Datos!AN17))
     ),IF(D_I="SI",(Datos!L17-Datos!V17)/Datos!V17,(Datos!L17+Datos!AF17-(Datos!V17+Datos!AN17))/(Datos!V17+Datos!AN17))," - ")</f>
        <v>0.63934426229508201</v>
      </c>
      <c r="H17" s="234">
        <f>IF(ISNUMBER((Datos!M17-Datos!W17)/Datos!W17),(Datos!M17-Datos!W17)/Datos!W17," - ")</f>
        <v>0.38461538461538464</v>
      </c>
      <c r="I17" s="359">
        <f>IF(ISNUMBER((Tasas!C17-Datos!BE17)/Datos!BE17),(Tasas!C17-Datos!BE17)/Datos!BE17," - ")</f>
        <v>0.57862780813600478</v>
      </c>
      <c r="J17" s="358">
        <f>IF(ISNUMBER((Tasas!D17-Datos!BF17)/Datos!BF17),(Tasas!D17-Datos!BF17)/Datos!BF17," - ")</f>
        <v>0.33333333333333326</v>
      </c>
      <c r="K17" s="360">
        <f>IF(ISNUMBER((Tasas!E17-Datos!BG17)/Datos!BG17),(Tasas!E17-Datos!BG17)/Datos!BG17," - ")</f>
        <v>0.28012933568489118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0.21151439299123906</v>
      </c>
      <c r="E18" s="363">
        <f>IF(ISNUMBER(
   IF(D_I="SI",(Datos!J18-Datos!T18)/Datos!T18,(Datos!J18+Datos!AD18-(Datos!T18+Datos!AL18))/(Datos!T18+Datos!AL18))
     ),IF(D_I="SI",(Datos!J18-Datos!T18)/Datos!T18,(Datos!J18+Datos!AD18-(Datos!T18+Datos!AL18))/(Datos!T18+Datos!AL18))," - ")</f>
        <v>8.0303852414541507E-2</v>
      </c>
      <c r="F18" s="363">
        <f>IF(ISNUMBER(
   IF(D_I="SI",(Datos!K18-Datos!U18)/Datos!U18,(Datos!K18+Datos!AE18-(Datos!U18+Datos!AM18))/(Datos!U18+Datos!AM18))
     ),IF(D_I="SI",(Datos!K18-Datos!U18)/Datos!U18,(Datos!K18+Datos!AE18-(Datos!U18+Datos!AM18))/(Datos!U18+Datos!AM18))," - ")</f>
        <v>-1.0770059235325794E-3</v>
      </c>
      <c r="G18" s="364">
        <f>IF(ISNUMBER(
   IF(D_I="SI",(Datos!L18-Datos!V18)/Datos!V18,(Datos!L18+Datos!AF18-(Datos!V18+Datos!AN18))/(Datos!V18+Datos!AN18))
     ),IF(D_I="SI",(Datos!L18-Datos!V18)/Datos!V18,(Datos!L18+Datos!AF18-(Datos!V18+Datos!AN18))/(Datos!V18+Datos!AN18))," - ")</f>
        <v>0.27238493723849372</v>
      </c>
      <c r="H18" s="365">
        <f>IF(ISNUMBER((Datos!M18-Datos!W18)/Datos!W18),(Datos!M18-Datos!W18)/Datos!W18," - ")</f>
        <v>-0.22478386167146974</v>
      </c>
      <c r="I18" s="366">
        <f>IF(ISNUMBER((Tasas!C18-Datos!BE18)/Datos!BE18),(Tasas!C18-Datos!BE18)/Datos!BE18," - ")</f>
        <v>0.27375678083659455</v>
      </c>
      <c r="J18" s="364">
        <f>IF(ISNUMBER((Tasas!D18-Datos!BF18)/Datos!BF18),(Tasas!D18-Datos!BF18)/Datos!BF18," - ")</f>
        <v>-0.22394804912340666</v>
      </c>
      <c r="K18" s="367">
        <f>IF(ISNUMBER((Tasas!E18-Datos!BG18)/Datos!BG18),(Tasas!E18-Datos!BG18)/Datos!BG18," - ")</f>
        <v>0.15572585566800598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5.3505729002417741E-2</v>
      </c>
      <c r="E19" s="372">
        <f>IF(ISNUMBER(
   IF(J_V="SI",(Datos!J19-Datos!T19)/Datos!T19,(Datos!J19+Datos!Z19-(Datos!T19+Datos!AH19))/(Datos!T19+Datos!AH19))
     ),IF(J_V="SI",(Datos!J19-Datos!T19)/Datos!T19,(Datos!J19+Datos!Z19-(Datos!T19+Datos!AH19))/(Datos!T19+Datos!AH19))," - ")</f>
        <v>0.55410942395758012</v>
      </c>
      <c r="F19" s="372">
        <f>IF(ISNUMBER(
   IF(J_V="SI",(Datos!K19-Datos!U19)/Datos!U19,(Datos!K19+Datos!AA19-(Datos!U19+Datos!AI19))/(Datos!U19+Datos!AI19))
     ),IF(J_V="SI",(Datos!K19-Datos!U19)/Datos!U19,(Datos!K19+Datos!AA19-(Datos!U19+Datos!AI19))/(Datos!U19+Datos!AI19))," - ")</f>
        <v>4.234769687964339E-2</v>
      </c>
      <c r="G19" s="373">
        <f>IF(ISNUMBER(
   IF(J_V="SI",(Datos!L19-Datos!V19)/Datos!V19,(Datos!L19+Datos!AB19-(Datos!V19+Datos!AJ19))/(Datos!V19+Datos!AJ19))
     ),IF(J_V="SI",(Datos!L19-Datos!V19)/Datos!V19,(Datos!L19+Datos!AB19-(Datos!V19+Datos!AJ19))/(Datos!V19+Datos!AJ19))," - ")</f>
        <v>0.29164488131339539</v>
      </c>
      <c r="H19" s="374">
        <f>IF(ISNUMBER((Datos!M19-Datos!W19)/Datos!W19),(Datos!M19-Datos!W19)/Datos!W19," - ")</f>
        <v>-0.25551684088269455</v>
      </c>
      <c r="I19" s="371">
        <f>IF(ISNUMBER((Tasas!C19-Datos!BE19)/Datos!BE19),(Tasas!C19-Datos!BE19)/Datos!BE19," - ")</f>
        <v>0.23916893103908057</v>
      </c>
      <c r="J19" s="372">
        <f>IF(ISNUMBER((Tasas!D19-Datos!BF19)/Datos!BF19),(Tasas!D19-Datos!BF19)/Datos!BF19," - ")</f>
        <v>-0.42687982548380221</v>
      </c>
      <c r="K19" s="373">
        <f>IF(ISNUMBER((Tasas!E19-Datos!BG19)/Datos!BG19),(Tasas!E19-Datos!BG19)/Datos!BG19," - ")</f>
        <v>0.15655610929713012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0.31036637907868164</v>
      </c>
      <c r="E21" s="282">
        <f t="shared" si="1"/>
        <v>0.1522759287828116</v>
      </c>
      <c r="F21" s="282">
        <f t="shared" si="1"/>
        <v>0.68222006316083017</v>
      </c>
      <c r="G21" s="283">
        <f t="shared" si="1"/>
        <v>0.17785172776645872</v>
      </c>
      <c r="H21" s="289">
        <f t="shared" si="1"/>
        <v>0.39427690492452971</v>
      </c>
      <c r="I21" s="281">
        <f t="shared" si="1"/>
        <v>0.32645188563564909</v>
      </c>
      <c r="J21" s="282">
        <f t="shared" si="1"/>
        <v>0.31654795569635585</v>
      </c>
      <c r="K21" s="283">
        <f t="shared" si="1"/>
        <v>0.23139829362287356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c+kISqX0+nCmoTDErK51nIM370/uTFDM6+LcRUlo8qhVjV3neaXFWzpqdStUa+hG5kxLAi+5izlrC5iw7pmgg==" saltValue="Ft/V+rnC98WUT4E4iyUcE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